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 name="Sheet1"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'06'!$A$1:$S$121</definedName>
    <definedName name="_xlnm.Print_Area" localSheetId="13">'07'!$A$1:$T$120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3.xml><?xml version="1.0" encoding="utf-8"?>
<comments xmlns="http://schemas.openxmlformats.org/spreadsheetml/2006/main">
  <authors>
    <author>IT DAK LAK</author>
  </authors>
  <commentList>
    <comment ref="H105" authorId="0">
      <text>
        <r>
          <rPr>
            <b/>
            <sz val="8"/>
            <rFont val="Tahoma"/>
            <family val="2"/>
          </rPr>
          <t>IT DAK LAK:</t>
        </r>
        <r>
          <rPr>
            <sz val="8"/>
            <rFont val="Tahoma"/>
            <family val="2"/>
          </rPr>
          <t xml:space="preserve">
</t>
        </r>
      </text>
    </comment>
  </commentList>
</comments>
</file>

<file path=xl/comments14.xml><?xml version="1.0" encoding="utf-8"?>
<comments xmlns="http://schemas.openxmlformats.org/spreadsheetml/2006/main">
  <authors>
    <author>IT DAK LAK</author>
  </authors>
  <commentList>
    <comment ref="C105"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<sst xmlns="http://schemas.openxmlformats.org/spreadsheetml/2006/main" count="1254" uniqueCount="600">
  <si>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</si>
  <si>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</si>
  <si>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</si>
  <si>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</si>
  <si>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</si>
  <si>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</si>
  <si>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</si>
  <si>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</si>
  <si>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</si>
  <si>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</si>
  <si>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</si>
  <si>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</si>
  <si>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</si>
  <si>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</si>
  <si>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</si>
  <si>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</si>
  <si>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</si>
  <si>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</si>
  <si>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</si>
  <si>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</si>
  <si>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</si>
  <si>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</si>
  <si>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</si>
  <si>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</si>
  <si>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</si>
  <si>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</si>
  <si>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</si>
  <si>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</si>
  <si>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</si>
  <si>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</si>
  <si>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</si>
  <si>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</si>
  <si>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</si>
  <si>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</si>
  <si>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</si>
  <si>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</si>
  <si>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</si>
  <si>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</si>
  <si>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</si>
  <si>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</si>
  <si>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</si>
  <si>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</si>
  <si>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</si>
  <si>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</si>
  <si>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</si>
  <si>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</si>
  <si>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</si>
  <si>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</si>
  <si>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</si>
  <si>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</si>
  <si>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</si>
  <si>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</si>
  <si>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</si>
  <si>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</si>
  <si>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</si>
  <si>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</si>
  <si>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</si>
  <si>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</si>
  <si>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</si>
  <si>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</si>
  <si>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</si>
  <si>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</si>
  <si>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</si>
  <si>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</si>
  <si>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</si>
  <si>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</si>
  <si>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</si>
  <si>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</si>
  <si>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</si>
  <si>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</si>
  <si>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</si>
  <si>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</si>
  <si>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</si>
  <si>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</si>
  <si>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</si>
  <si>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</si>
  <si>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</si>
  <si>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</si>
  <si>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</si>
  <si>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</si>
  <si>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</si>
  <si>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</si>
  <si>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</si>
  <si>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</si>
  <si>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</si>
  <si>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</si>
  <si>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</si>
  <si>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</si>
  <si>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</si>
  <si>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</si>
  <si>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</si>
  <si>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</si>
  <si>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</si>
  <si>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</si>
  <si>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</si>
  <si>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</si>
  <si>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</si>
  <si>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</si>
  <si>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</si>
  <si>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</si>
  <si>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</si>
  <si>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</si>
  <si>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</si>
  <si>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</si>
  <si>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</si>
  <si>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</si>
  <si>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</si>
  <si>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</si>
  <si>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</si>
  <si>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</si>
  <si>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</si>
  <si>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</si>
  <si>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</si>
  <si>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</si>
  <si>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</si>
  <si>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</si>
  <si>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</si>
  <si>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</si>
  <si>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</si>
  <si>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</si>
  <si>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</si>
  <si>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</si>
  <si>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</si>
  <si>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</si>
  <si>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</si>
  <si>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</si>
  <si>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</si>
  <si>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</si>
  <si>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</si>
  <si>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</si>
  <si>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</si>
  <si>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</si>
  <si>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</si>
  <si>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</si>
  <si>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</si>
  <si>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</si>
  <si>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</si>
  <si>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</si>
  <si>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</si>
  <si>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</si>
  <si>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</si>
  <si>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</si>
  <si>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</si>
  <si>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</si>
  <si>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</si>
  <si>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</si>
  <si>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</si>
  <si>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</si>
  <si>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</si>
  <si>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</si>
  <si>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</si>
  <si>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</si>
  <si>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</si>
  <si>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</si>
  <si>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</si>
  <si>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</si>
  <si>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</si>
  <si>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</si>
  <si>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</si>
  <si>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</si>
  <si>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</si>
  <si>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</si>
  <si>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</si>
  <si>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</si>
  <si>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</si>
  <si>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</si>
  <si>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</si>
  <si>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</si>
  <si>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</si>
  <si>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</si>
  <si>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</si>
  <si>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</si>
  <si>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</si>
  <si>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</si>
  <si>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</si>
  <si>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</si>
  <si>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</si>
  <si>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</si>
  <si>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</si>
  <si>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</si>
  <si>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</si>
  <si>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</si>
  <si>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</si>
  <si>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</si>
  <si>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</si>
  <si>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</si>
  <si>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</si>
  <si>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</si>
  <si>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</si>
  <si>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</si>
  <si>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</si>
  <si>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</si>
  <si>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</si>
  <si>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</si>
  <si>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</si>
  <si>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</si>
  <si>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</si>
  <si>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</si>
  <si>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</si>
  <si>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</si>
  <si>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</si>
  <si>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</si>
  <si>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</si>
  <si>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</si>
  <si>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</si>
  <si>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</si>
  <si>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</si>
  <si>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</si>
  <si>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</si>
  <si>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</si>
  <si>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</si>
  <si>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</si>
  <si>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</si>
  <si>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</si>
  <si>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</si>
  <si>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</si>
  <si>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</si>
  <si>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</si>
  <si>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</si>
  <si>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</si>
  <si>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</si>
  <si>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</si>
  <si>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</si>
  <si>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</si>
  <si>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</si>
  <si>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</si>
  <si>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</si>
  <si>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</si>
  <si>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</si>
  <si>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</si>
  <si>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</si>
  <si>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</si>
  <si>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</si>
  <si>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</si>
  <si>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</si>
  <si>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</si>
  <si>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</si>
  <si>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</si>
  <si>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</si>
  <si>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</si>
  <si>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</si>
  <si>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</si>
  <si>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</si>
  <si>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</si>
  <si>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</si>
  <si>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</si>
  <si>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</si>
  <si>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</si>
  <si>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</si>
  <si>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</si>
  <si>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</si>
  <si>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</si>
  <si>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</si>
  <si>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</si>
  <si>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</si>
  <si>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</si>
  <si>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</si>
  <si>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</si>
  <si>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</si>
  <si>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</si>
  <si>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</si>
  <si>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</si>
  <si>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</si>
  <si>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</si>
  <si>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</si>
  <si>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</si>
  <si>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</si>
  <si>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</si>
  <si>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</si>
  <si>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</si>
  <si>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</si>
  <si>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</si>
  <si>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</si>
  <si>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</si>
  <si>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</si>
  <si>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</si>
  <si>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</si>
  <si>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</si>
  <si>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</si>
  <si>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</si>
  <si>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</si>
  <si>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</si>
  <si>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</si>
  <si>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</si>
  <si>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</si>
  <si>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</si>
  <si>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</si>
  <si>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</si>
  <si>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</si>
  <si>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</si>
  <si>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</si>
  <si>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</si>
  <si>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</si>
  <si>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</si>
  <si>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</si>
  <si>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</si>
  <si>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</si>
  <si>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</si>
  <si>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</si>
  <si>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</si>
  <si>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</si>
  <si>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</si>
  <si>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</si>
  <si>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</si>
  <si>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</si>
  <si>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</si>
  <si>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</si>
  <si>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</si>
  <si>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</si>
  <si>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</si>
  <si>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</si>
  <si>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</si>
  <si>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</si>
  <si>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</si>
  <si>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</si>
  <si>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</si>
  <si>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</si>
  <si>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</si>
  <si>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</si>
  <si>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</si>
  <si>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</si>
  <si>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</si>
  <si>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</si>
  <si>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</si>
  <si>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</si>
  <si>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</si>
  <si>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</si>
  <si>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</si>
  <si>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</si>
  <si>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</si>
  <si>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</si>
  <si>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</si>
  <si>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</si>
  <si>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</si>
  <si>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</si>
  <si>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</si>
  <si>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</si>
  <si>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</si>
  <si>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</si>
  <si>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</si>
  <si>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</si>
  <si>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</si>
  <si>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</si>
  <si>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</si>
  <si>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</si>
  <si>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</si>
  <si>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</si>
  <si>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</si>
  <si>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</si>
  <si>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</si>
  <si>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</si>
  <si>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</si>
  <si>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</si>
  <si>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</si>
  <si>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</si>
  <si>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</si>
  <si>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</si>
  <si>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</si>
  <si>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</si>
  <si>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</si>
  <si>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</si>
  <si>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</si>
  <si>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</si>
  <si>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</si>
  <si>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</si>
  <si>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</si>
  <si>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</si>
  <si>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</si>
  <si>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</si>
  <si>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</si>
  <si>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</si>
  <si>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</si>
  <si>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</si>
  <si>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</si>
  <si>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</si>
  <si>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</si>
  <si>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</si>
  <si>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</si>
  <si>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</si>
  <si>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</si>
  <si>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</si>
  <si>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</si>
  <si>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</si>
  <si>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</si>
  <si>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</si>
  <si>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</si>
  <si>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</si>
  <si>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</si>
  <si>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</si>
  <si>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</si>
  <si>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</si>
  <si>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</si>
  <si>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</si>
  <si>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</si>
  <si>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</si>
  <si>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</si>
  <si>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</si>
  <si>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</si>
  <si>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</si>
  <si>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</si>
  <si>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</si>
  <si>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</si>
  <si>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</si>
  <si>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</si>
  <si>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</si>
  <si>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</si>
  <si>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</si>
  <si>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</si>
  <si>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</si>
  <si>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</si>
  <si>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</si>
  <si>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</si>
  <si>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</si>
  <si>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</si>
  <si>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</si>
  <si>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</si>
  <si>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</si>
  <si>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</si>
  <si>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</si>
  <si>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</si>
  <si>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</si>
  <si>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</si>
  <si>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</si>
  <si>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</si>
  <si>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</si>
  <si>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</si>
  <si>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</si>
  <si>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</si>
  <si>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</si>
  <si>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</si>
  <si>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</si>
  <si>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</si>
  <si>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</si>
  <si>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</si>
  <si>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</si>
  <si>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</si>
  <si>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</si>
  <si>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</si>
  <si>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</si>
  <si>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</si>
  <si>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</si>
  <si>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</si>
  <si>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</si>
  <si>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</si>
  <si>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</si>
  <si>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</si>
  <si>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</si>
  <si>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</si>
  <si>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</si>
  <si>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</si>
  <si>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</si>
  <si>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</si>
  <si>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</si>
  <si>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</si>
  <si>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</si>
  <si>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</si>
  <si>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</si>
  <si>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</si>
  <si>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</si>
  <si>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</si>
  <si>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</si>
  <si>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</si>
  <si>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</si>
  <si>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</si>
  <si>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</si>
  <si>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</si>
  <si>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</si>
  <si>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</si>
  <si>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</si>
  <si>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</si>
  <si>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</si>
  <si>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</si>
  <si>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</si>
  <si>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</si>
  <si>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</si>
  <si>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</si>
  <si>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</si>
  <si>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</si>
  <si>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</si>
  <si>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</si>
  <si>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</si>
  <si>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</si>
  <si>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</si>
  <si>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</si>
  <si>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</si>
  <si>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</si>
  <si>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</si>
  <si>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</si>
  <si>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</si>
  <si>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</si>
  <si>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</si>
  <si>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</si>
  <si>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</si>
  <si>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</si>
  <si>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</si>
  <si>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</si>
  <si>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</si>
  <si>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</si>
  <si>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</si>
  <si>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</si>
  <si>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</si>
  <si>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</si>
  <si>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</si>
  <si>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</si>
  <si>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</si>
  <si>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</si>
  <si>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</si>
  <si>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</si>
  <si>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</si>
  <si>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</si>
  <si>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</si>
  <si>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</si>
  <si>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</si>
  <si>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</si>
  <si>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</si>
  <si>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</si>
  <si>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</si>
  <si>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</si>
  <si>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</si>
  <si>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</si>
  <si>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</si>
  <si>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</si>
  <si>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</si>
  <si>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</si>
  <si>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</si>
  <si>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</si>
  <si>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</si>
  <si>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</si>
  <si>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</si>
  <si>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</si>
  <si>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</si>
  <si>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</si>
  <si>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</si>
  <si>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</si>
  <si>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</si>
  <si>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</si>
  <si>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</si>
  <si>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</si>
  <si>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</si>
  <si>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</si>
  <si>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</si>
  <si>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</si>
  <si>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</si>
  <si>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</si>
  <si>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</si>
  <si>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</si>
  <si>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</si>
  <si>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</si>
  <si>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</si>
  <si>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</si>
  <si>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Phạm Thị Thu Hiền</t>
  </si>
  <si>
    <t>Hoàng Vân Anh</t>
  </si>
  <si>
    <t>8.3</t>
  </si>
  <si>
    <t>Lê Thị Tuyết Thanh</t>
  </si>
  <si>
    <t>Nguyễn Thanh Hải</t>
  </si>
  <si>
    <t>Nguyễn T Diệp Anh</t>
  </si>
  <si>
    <t>Lê Văn Thụy</t>
  </si>
  <si>
    <t>Lê Viết Thắng</t>
  </si>
  <si>
    <t xml:space="preserve"> Bùi Văn Châu</t>
  </si>
  <si>
    <t xml:space="preserve"> Tạ Văn Quảng</t>
  </si>
  <si>
    <t xml:space="preserve"> Nguyễn Thị Xuân Hoa</t>
  </si>
  <si>
    <t xml:space="preserve"> Hoàng Trọng Hiếu</t>
  </si>
  <si>
    <t>13.11</t>
  </si>
  <si>
    <t>Tô Anh Dũng</t>
  </si>
  <si>
    <t>Phạm Văn Phúc</t>
  </si>
  <si>
    <t>Lương Thanh Thủy</t>
  </si>
  <si>
    <t>7.1</t>
  </si>
  <si>
    <t>7.2</t>
  </si>
  <si>
    <t>7.3</t>
  </si>
  <si>
    <t>7.4</t>
  </si>
  <si>
    <t>7.5</t>
  </si>
  <si>
    <t>7.6</t>
  </si>
  <si>
    <t>6.1</t>
  </si>
  <si>
    <t>6.2</t>
  </si>
  <si>
    <t>6.3</t>
  </si>
  <si>
    <t>6.4</t>
  </si>
  <si>
    <t>6.5</t>
  </si>
  <si>
    <t>Nguyễn Phi Hùng</t>
  </si>
  <si>
    <t>Nguyễn Văn Lai</t>
  </si>
  <si>
    <t>Nguyễn T.P Thảo</t>
  </si>
  <si>
    <t>Nguyễn Văn Thảnh</t>
  </si>
  <si>
    <t>10.2</t>
  </si>
  <si>
    <t>Lê Văn Diên</t>
  </si>
  <si>
    <t>1.18</t>
  </si>
  <si>
    <t>Kiều T. Hạnh Nguyên</t>
  </si>
  <si>
    <t>120</t>
  </si>
  <si>
    <t>127</t>
  </si>
  <si>
    <t xml:space="preserve"> Nguyễn Thế Mạnh</t>
  </si>
  <si>
    <t xml:space="preserve"> Đỗ Văn Hoàng</t>
  </si>
  <si>
    <t>Đinh Thị Quyên</t>
  </si>
  <si>
    <t xml:space="preserve"> Phùng Ngọc Huy</t>
  </si>
  <si>
    <t>61</t>
  </si>
  <si>
    <t>101</t>
  </si>
  <si>
    <t>27</t>
  </si>
  <si>
    <t>97</t>
  </si>
  <si>
    <r>
      <rPr>
        <sz val="12"/>
        <color indexed="10"/>
        <rFont val="Times New Roman"/>
        <family val="1"/>
      </rPr>
      <t xml:space="preserve">02 </t>
    </r>
    <r>
      <rPr>
        <sz val="12"/>
        <rFont val="Times New Roman"/>
        <family val="1"/>
      </rPr>
      <t>tháng / năm 2018</t>
    </r>
  </si>
  <si>
    <r>
      <t xml:space="preserve">Hải Phòng, ngày </t>
    </r>
    <r>
      <rPr>
        <sz val="12"/>
        <color indexed="10"/>
        <rFont val="Times New Roman"/>
        <family val="1"/>
      </rPr>
      <t>05</t>
    </r>
    <r>
      <rPr>
        <sz val="12"/>
        <rFont val="Times New Roman"/>
        <family val="1"/>
      </rPr>
      <t xml:space="preserve"> tháng </t>
    </r>
    <r>
      <rPr>
        <sz val="12"/>
        <color indexed="10"/>
        <rFont val="Times New Roman"/>
        <family val="1"/>
      </rPr>
      <t>11</t>
    </r>
    <r>
      <rPr>
        <sz val="12"/>
        <rFont val="Times New Roman"/>
        <family val="1"/>
      </rPr>
      <t xml:space="preserve"> năm 2017</t>
    </r>
  </si>
  <si>
    <t>02 tháng / năm 2018</t>
  </si>
  <si>
    <t>Hải Phòng, ngày 07 tháng 12 năm 2017</t>
  </si>
  <si>
    <t xml:space="preserve">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</si>
</sst>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4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sz val="11"/>
      <color indexed="8"/>
      <name val="Calibri"/>
      <family val="2"/>
    </font>
    <font>
      <sz val="8"/>
      <color indexed="10"/>
      <name val="Times New Roman"/>
      <family val="1"/>
    </font>
    <font>
      <b/>
      <sz val="8"/>
      <name val="Tahoma"/>
      <family val="2"/>
    </font>
    <font>
      <sz val="8"/>
      <name val="Tahoma"/>
      <family val="2"/>
    </font>
    <font>
      <i/>
      <sz val="8"/>
      <color indexed="10"/>
      <name val="Times New Roman"/>
      <family val="1"/>
    </font>
    <font>
      <b/>
      <sz val="14"/>
      <color indexed="10"/>
      <name val="Times New Roman"/>
      <family val="1"/>
    </font>
    <font>
      <sz val="13"/>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double"/>
      <right style="thin"/>
      <top style="thin"/>
      <bottom style="thin"/>
    </border>
    <border>
      <left style="double"/>
      <right style="thin"/>
      <top style="double"/>
      <bottom style="thin"/>
    </border>
    <border>
      <left style="thin"/>
      <right style="double"/>
      <top style="double"/>
      <bottom style="thin"/>
    </border>
  </borders>
  <cellStyleXfs count="3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6"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6"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7"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7"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7"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8"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29"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0" fillId="39" borderId="3" applyNumberFormat="0" applyAlignment="0" applyProtection="0"/>
    <xf numFmtId="0" fontId="40" fillId="40" borderId="4" applyNumberFormat="0" applyAlignment="0" applyProtection="0"/>
    <xf numFmtId="0" fontId="40" fillId="40" borderId="4" applyNumberFormat="0" applyAlignment="0" applyProtection="0"/>
    <xf numFmtId="0" fontId="13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3"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4"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5"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6" fillId="9" borderId="2" applyNumberFormat="0" applyAlignment="0" applyProtection="0"/>
    <xf numFmtId="0" fontId="46" fillId="9" borderId="2" applyNumberFormat="0" applyAlignment="0" applyProtection="0"/>
    <xf numFmtId="0" fontId="137"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8"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39"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1"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06">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84" applyNumberFormat="1" applyFont="1" applyFill="1" applyBorder="1" applyAlignment="1" applyProtection="1">
      <alignment horizontal="center" vertical="center"/>
      <protection/>
    </xf>
    <xf numFmtId="49" fontId="0" fillId="47" borderId="0" xfId="286" applyNumberFormat="1" applyFont="1" applyFill="1" applyBorder="1" applyAlignment="1">
      <alignment horizontal="left"/>
      <protection/>
    </xf>
    <xf numFmtId="49" fontId="0" fillId="0" borderId="0" xfId="286" applyNumberFormat="1" applyFont="1">
      <alignment/>
      <protection/>
    </xf>
    <xf numFmtId="49" fontId="0" fillId="0" borderId="0" xfId="286" applyNumberFormat="1">
      <alignment/>
      <protection/>
    </xf>
    <xf numFmtId="49" fontId="0" fillId="0" borderId="0" xfId="286" applyNumberFormat="1" applyFont="1" applyAlignment="1">
      <alignment horizontal="left"/>
      <protection/>
    </xf>
    <xf numFmtId="49" fontId="0" fillId="0" borderId="0" xfId="286" applyNumberFormat="1" applyFont="1" applyBorder="1" applyAlignment="1">
      <alignment wrapText="1"/>
      <protection/>
    </xf>
    <xf numFmtId="49" fontId="15" fillId="0" borderId="0" xfId="286" applyNumberFormat="1" applyFont="1" applyAlignment="1">
      <alignment/>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0" fillId="0" borderId="0" xfId="286" applyNumberFormat="1" applyFont="1" applyFill="1" applyAlignment="1">
      <alignment/>
      <protection/>
    </xf>
    <xf numFmtId="49" fontId="0" fillId="0" borderId="0" xfId="286" applyNumberFormat="1" applyFont="1" applyFill="1" applyAlignment="1">
      <alignment horizontal="center"/>
      <protection/>
    </xf>
    <xf numFmtId="49" fontId="0" fillId="0" borderId="0" xfId="286" applyNumberFormat="1" applyFont="1" applyAlignment="1">
      <alignment horizontal="center"/>
      <protection/>
    </xf>
    <xf numFmtId="49" fontId="0" fillId="0" borderId="0" xfId="286" applyNumberFormat="1" applyFont="1" applyFill="1">
      <alignment/>
      <protection/>
    </xf>
    <xf numFmtId="49" fontId="13" fillId="47" borderId="22" xfId="286" applyNumberFormat="1" applyFont="1" applyFill="1" applyBorder="1" applyAlignment="1">
      <alignment/>
      <protection/>
    </xf>
    <xf numFmtId="49" fontId="7" fillId="0" borderId="20" xfId="286" applyNumberFormat="1" applyFont="1" applyFill="1" applyBorder="1" applyAlignment="1">
      <alignment horizontal="center" vertical="center" wrapText="1"/>
      <protection/>
    </xf>
    <xf numFmtId="49" fontId="53" fillId="48" borderId="20" xfId="286" applyNumberFormat="1" applyFont="1" applyFill="1" applyBorder="1" applyAlignment="1">
      <alignment horizontal="center"/>
      <protection/>
    </xf>
    <xf numFmtId="49" fontId="7" fillId="0" borderId="21" xfId="286" applyNumberFormat="1" applyFont="1" applyFill="1" applyBorder="1" applyAlignment="1">
      <alignment horizontal="center" vertical="center" wrapText="1"/>
      <protection/>
    </xf>
    <xf numFmtId="49" fontId="7" fillId="0" borderId="20" xfId="286" applyNumberFormat="1" applyFont="1" applyBorder="1" applyAlignment="1">
      <alignment horizontal="center" vertical="center" wrapText="1"/>
      <protection/>
    </xf>
    <xf numFmtId="49" fontId="54" fillId="0" borderId="20" xfId="286" applyNumberFormat="1" applyFont="1" applyFill="1" applyBorder="1" applyAlignment="1">
      <alignment horizontal="center" vertical="center" wrapText="1"/>
      <protection/>
    </xf>
    <xf numFmtId="49" fontId="18" fillId="0" borderId="20" xfId="286" applyNumberFormat="1" applyFont="1" applyBorder="1" applyAlignment="1">
      <alignment horizontal="center" vertical="center"/>
      <protection/>
    </xf>
    <xf numFmtId="3" fontId="0" fillId="0" borderId="20" xfId="286" applyNumberFormat="1" applyFont="1" applyBorder="1" applyAlignment="1">
      <alignment horizontal="center" vertical="center"/>
      <protection/>
    </xf>
    <xf numFmtId="3" fontId="0" fillId="0" borderId="20" xfId="286" applyNumberFormat="1" applyFont="1" applyBorder="1" applyAlignment="1">
      <alignment vertical="center"/>
      <protection/>
    </xf>
    <xf numFmtId="49" fontId="0" fillId="0" borderId="0" xfId="286" applyNumberFormat="1" applyAlignment="1">
      <alignment vertical="center"/>
      <protection/>
    </xf>
    <xf numFmtId="3" fontId="52" fillId="3" borderId="20" xfId="286" applyNumberFormat="1" applyFont="1" applyFill="1" applyBorder="1" applyAlignment="1">
      <alignment vertical="center"/>
      <protection/>
    </xf>
    <xf numFmtId="3" fontId="57" fillId="3" borderId="20" xfId="286" applyNumberFormat="1" applyFont="1" applyFill="1" applyBorder="1" applyAlignment="1">
      <alignment vertical="center"/>
      <protection/>
    </xf>
    <xf numFmtId="49" fontId="58" fillId="0" borderId="20" xfId="286" applyNumberFormat="1" applyFont="1" applyBorder="1" applyAlignment="1">
      <alignment horizontal="center" vertical="center"/>
      <protection/>
    </xf>
    <xf numFmtId="3" fontId="25" fillId="44" borderId="20" xfId="286" applyNumberFormat="1" applyFont="1" applyFill="1" applyBorder="1" applyAlignment="1">
      <alignment vertical="center"/>
      <protection/>
    </xf>
    <xf numFmtId="3" fontId="3" fillId="48" borderId="20" xfId="286" applyNumberFormat="1" applyFont="1" applyFill="1" applyBorder="1" applyAlignment="1">
      <alignment horizontal="center" vertical="center"/>
      <protection/>
    </xf>
    <xf numFmtId="3" fontId="3" fillId="48" borderId="20" xfId="286" applyNumberFormat="1" applyFont="1" applyFill="1" applyBorder="1" applyAlignment="1">
      <alignment vertical="center"/>
      <protection/>
    </xf>
    <xf numFmtId="49" fontId="7" fillId="44" borderId="20" xfId="286" applyNumberFormat="1" applyFont="1" applyFill="1" applyBorder="1" applyAlignment="1">
      <alignment horizontal="center" vertical="center"/>
      <protection/>
    </xf>
    <xf numFmtId="49" fontId="7" fillId="44" borderId="20" xfId="286" applyNumberFormat="1" applyFont="1" applyFill="1" applyBorder="1" applyAlignment="1">
      <alignment horizontal="left" vertical="center"/>
      <protection/>
    </xf>
    <xf numFmtId="3" fontId="28" fillId="48" borderId="20" xfId="286" applyNumberFormat="1" applyFont="1" applyFill="1" applyBorder="1" applyAlignment="1">
      <alignment vertical="center"/>
      <protection/>
    </xf>
    <xf numFmtId="3" fontId="28" fillId="0" borderId="20" xfId="286" applyNumberFormat="1" applyFont="1" applyFill="1" applyBorder="1" applyAlignment="1">
      <alignment vertical="center"/>
      <protection/>
    </xf>
    <xf numFmtId="9" fontId="0" fillId="0" borderId="0" xfId="300" applyFont="1" applyAlignment="1">
      <alignment vertical="center"/>
    </xf>
    <xf numFmtId="49" fontId="7" fillId="44" borderId="23" xfId="286" applyNumberFormat="1" applyFont="1" applyFill="1" applyBorder="1" applyAlignment="1">
      <alignment horizontal="center" vertical="center"/>
      <protection/>
    </xf>
    <xf numFmtId="3" fontId="25" fillId="44" borderId="20" xfId="286" applyNumberFormat="1" applyFont="1" applyFill="1" applyBorder="1" applyAlignment="1">
      <alignment vertical="center"/>
      <protection/>
    </xf>
    <xf numFmtId="49" fontId="4" fillId="0" borderId="20" xfId="286" applyNumberFormat="1" applyFont="1" applyBorder="1" applyAlignment="1">
      <alignment horizontal="center" vertical="center"/>
      <protection/>
    </xf>
    <xf numFmtId="49" fontId="4" fillId="47" borderId="20" xfId="286" applyNumberFormat="1" applyFont="1" applyFill="1" applyBorder="1" applyAlignment="1">
      <alignment horizontal="left" vertical="center"/>
      <protection/>
    </xf>
    <xf numFmtId="49" fontId="5"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vertical="center"/>
      <protection/>
    </xf>
    <xf numFmtId="49" fontId="20" fillId="0" borderId="0" xfId="286" applyNumberFormat="1" applyFont="1" applyAlignment="1">
      <alignment vertical="center"/>
      <protection/>
    </xf>
    <xf numFmtId="49" fontId="4" fillId="47" borderId="20" xfId="286" applyNumberFormat="1" applyFont="1" applyFill="1" applyBorder="1" applyAlignment="1">
      <alignment horizontal="left" vertical="center"/>
      <protection/>
    </xf>
    <xf numFmtId="3" fontId="28" fillId="0" borderId="20" xfId="287" applyNumberFormat="1" applyFont="1" applyFill="1" applyBorder="1" applyAlignment="1">
      <alignment horizontal="center" vertical="center"/>
      <protection/>
    </xf>
    <xf numFmtId="49" fontId="0" fillId="0" borderId="0" xfId="286" applyNumberFormat="1" applyFill="1">
      <alignment/>
      <protection/>
    </xf>
    <xf numFmtId="49" fontId="20" fillId="0" borderId="0" xfId="286" applyNumberFormat="1" applyFont="1">
      <alignment/>
      <protection/>
    </xf>
    <xf numFmtId="49" fontId="28" fillId="0" borderId="0" xfId="286" applyNumberFormat="1" applyFont="1" applyFill="1" applyBorder="1" applyAlignment="1">
      <alignment horizontal="center" wrapText="1"/>
      <protection/>
    </xf>
    <xf numFmtId="49" fontId="59" fillId="0" borderId="0" xfId="286" applyNumberFormat="1" applyFont="1" applyBorder="1">
      <alignment/>
      <protection/>
    </xf>
    <xf numFmtId="49" fontId="60" fillId="0" borderId="0" xfId="286" applyNumberFormat="1" applyFont="1">
      <alignment/>
      <protection/>
    </xf>
    <xf numFmtId="49" fontId="1" fillId="0" borderId="0" xfId="286" applyNumberFormat="1" applyFont="1">
      <alignment/>
      <protection/>
    </xf>
    <xf numFmtId="9" fontId="1" fillId="0" borderId="0" xfId="300" applyFont="1" applyAlignment="1">
      <alignment/>
    </xf>
    <xf numFmtId="49" fontId="61" fillId="0" borderId="0" xfId="286" applyNumberFormat="1" applyFont="1" applyBorder="1">
      <alignment/>
      <protection/>
    </xf>
    <xf numFmtId="49" fontId="25" fillId="0" borderId="0" xfId="286" applyNumberFormat="1" applyFont="1" applyBorder="1" applyAlignment="1">
      <alignment horizontal="center" wrapText="1"/>
      <protection/>
    </xf>
    <xf numFmtId="49" fontId="25" fillId="0" borderId="0" xfId="286" applyNumberFormat="1" applyFont="1" applyFill="1" applyBorder="1" applyAlignment="1">
      <alignment horizontal="center" wrapText="1"/>
      <protection/>
    </xf>
    <xf numFmtId="49" fontId="62" fillId="0" borderId="0" xfId="286" applyNumberFormat="1" applyFont="1" applyBorder="1">
      <alignment/>
      <protection/>
    </xf>
    <xf numFmtId="49" fontId="63" fillId="0" borderId="0" xfId="286" applyNumberFormat="1" applyFont="1" applyBorder="1" applyAlignment="1">
      <alignment wrapText="1"/>
      <protection/>
    </xf>
    <xf numFmtId="49" fontId="2" fillId="0" borderId="0" xfId="286" applyNumberFormat="1" applyFont="1" applyBorder="1">
      <alignment/>
      <protection/>
    </xf>
    <xf numFmtId="49" fontId="40" fillId="0" borderId="0" xfId="286" applyNumberFormat="1" applyFont="1" applyBorder="1" applyAlignment="1">
      <alignment horizontal="center" wrapText="1"/>
      <protection/>
    </xf>
    <xf numFmtId="49" fontId="40" fillId="0" borderId="0" xfId="286" applyNumberFormat="1" applyFont="1" applyFill="1" applyBorder="1" applyAlignment="1">
      <alignment horizontal="center" wrapText="1"/>
      <protection/>
    </xf>
    <xf numFmtId="49" fontId="64" fillId="0" borderId="0" xfId="286" applyNumberFormat="1" applyFont="1" applyBorder="1">
      <alignment/>
      <protection/>
    </xf>
    <xf numFmtId="49" fontId="28" fillId="0" borderId="0" xfId="286" applyNumberFormat="1" applyFont="1">
      <alignment/>
      <protection/>
    </xf>
    <xf numFmtId="49" fontId="28" fillId="0" borderId="0" xfId="286" applyNumberFormat="1" applyFont="1" applyFill="1">
      <alignment/>
      <protection/>
    </xf>
    <xf numFmtId="49" fontId="28" fillId="47" borderId="0" xfId="286" applyNumberFormat="1" applyFont="1" applyFill="1">
      <alignment/>
      <protection/>
    </xf>
    <xf numFmtId="0" fontId="25" fillId="0" borderId="0" xfId="286" applyFont="1" applyAlignment="1">
      <alignment horizontal="center"/>
      <protection/>
    </xf>
    <xf numFmtId="49" fontId="25" fillId="47" borderId="0" xfId="286" applyNumberFormat="1" applyFont="1" applyFill="1" applyAlignment="1">
      <alignment horizontal="center"/>
      <protection/>
    </xf>
    <xf numFmtId="0" fontId="66" fillId="0" borderId="0" xfId="286" applyFont="1" applyAlignment="1">
      <alignment/>
      <protection/>
    </xf>
    <xf numFmtId="0" fontId="3" fillId="0" borderId="0" xfId="286" applyFont="1" applyAlignment="1">
      <alignment/>
      <protection/>
    </xf>
    <xf numFmtId="49" fontId="31" fillId="0" borderId="0" xfId="286" applyNumberFormat="1" applyFont="1">
      <alignment/>
      <protection/>
    </xf>
    <xf numFmtId="3" fontId="0" fillId="0" borderId="0" xfId="286" applyNumberFormat="1" applyFont="1" applyFill="1">
      <alignment/>
      <protection/>
    </xf>
    <xf numFmtId="49" fontId="3" fillId="0" borderId="0" xfId="286" applyNumberFormat="1" applyFont="1" applyFill="1" applyAlignment="1">
      <alignment wrapText="1"/>
      <protection/>
    </xf>
    <xf numFmtId="49" fontId="0" fillId="0" borderId="0" xfId="286" applyNumberFormat="1" applyFont="1" applyFill="1" applyBorder="1" applyAlignment="1">
      <alignment/>
      <protection/>
    </xf>
    <xf numFmtId="49" fontId="0" fillId="0" borderId="0" xfId="286" applyNumberFormat="1" applyFont="1" applyFill="1" applyBorder="1">
      <alignment/>
      <protection/>
    </xf>
    <xf numFmtId="49" fontId="19" fillId="0" borderId="22" xfId="286" applyNumberFormat="1" applyFont="1" applyFill="1" applyBorder="1" applyAlignment="1">
      <alignment/>
      <protection/>
    </xf>
    <xf numFmtId="49" fontId="5" fillId="0" borderId="22" xfId="286" applyNumberFormat="1" applyFont="1" applyFill="1" applyBorder="1" applyAlignment="1">
      <alignment horizontal="center"/>
      <protection/>
    </xf>
    <xf numFmtId="49" fontId="0" fillId="0" borderId="0" xfId="286" applyNumberFormat="1" applyFill="1" applyBorder="1">
      <alignment/>
      <protection/>
    </xf>
    <xf numFmtId="49" fontId="6" fillId="0" borderId="20" xfId="286" applyNumberFormat="1" applyFont="1" applyFill="1" applyBorder="1" applyAlignment="1">
      <alignment horizontal="center" vertical="center" wrapText="1"/>
      <protection/>
    </xf>
    <xf numFmtId="49" fontId="19" fillId="0" borderId="20" xfId="286" applyNumberFormat="1" applyFont="1" applyFill="1" applyBorder="1" applyAlignment="1">
      <alignment horizontal="center" vertical="center" wrapText="1"/>
      <protection/>
    </xf>
    <xf numFmtId="3" fontId="29" fillId="3" borderId="20" xfId="286" applyNumberFormat="1" applyFont="1" applyFill="1" applyBorder="1" applyAlignment="1">
      <alignment horizontal="center" vertical="center" wrapText="1"/>
      <protection/>
    </xf>
    <xf numFmtId="3" fontId="69" fillId="3" borderId="20" xfId="286" applyNumberFormat="1" applyFont="1" applyFill="1" applyBorder="1" applyAlignment="1">
      <alignment horizontal="center" vertical="center" wrapText="1"/>
      <protection/>
    </xf>
    <xf numFmtId="3" fontId="6" fillId="44" borderId="20" xfId="286" applyNumberFormat="1" applyFont="1" applyFill="1" applyBorder="1" applyAlignment="1">
      <alignment horizontal="center" vertical="center" wrapText="1"/>
      <protection/>
    </xf>
    <xf numFmtId="49" fontId="7" fillId="0" borderId="20" xfId="286" applyNumberFormat="1" applyFont="1" applyFill="1" applyBorder="1" applyAlignment="1">
      <alignment horizontal="center"/>
      <protection/>
    </xf>
    <xf numFmtId="49" fontId="7" fillId="0" borderId="20" xfId="286" applyNumberFormat="1" applyFont="1" applyFill="1" applyBorder="1" applyAlignment="1">
      <alignment horizontal="left"/>
      <protection/>
    </xf>
    <xf numFmtId="3" fontId="5" fillId="44" borderId="20" xfId="286" applyNumberFormat="1" applyFont="1" applyFill="1" applyBorder="1" applyAlignment="1">
      <alignment horizontal="center" vertical="center" wrapText="1"/>
      <protection/>
    </xf>
    <xf numFmtId="3" fontId="5" fillId="0" borderId="20" xfId="286" applyNumberFormat="1" applyFont="1" applyFill="1" applyBorder="1" applyAlignment="1">
      <alignment horizontal="center" vertical="center" wrapText="1"/>
      <protection/>
    </xf>
    <xf numFmtId="9" fontId="0" fillId="0" borderId="0" xfId="300" applyFont="1" applyFill="1" applyAlignment="1">
      <alignment/>
    </xf>
    <xf numFmtId="49" fontId="7" fillId="44" borderId="23" xfId="286" applyNumberFormat="1" applyFont="1" applyFill="1" applyBorder="1" applyAlignment="1">
      <alignment horizontal="center"/>
      <protection/>
    </xf>
    <xf numFmtId="49" fontId="7" fillId="44" borderId="20" xfId="286" applyNumberFormat="1" applyFont="1" applyFill="1" applyBorder="1" applyAlignment="1">
      <alignment horizontal="left"/>
      <protection/>
    </xf>
    <xf numFmtId="49" fontId="4" fillId="0" borderId="23" xfId="286" applyNumberFormat="1" applyFont="1" applyFill="1" applyBorder="1" applyAlignment="1">
      <alignment horizontal="center"/>
      <protection/>
    </xf>
    <xf numFmtId="49" fontId="4" fillId="47" borderId="20" xfId="286" applyNumberFormat="1" applyFont="1" applyFill="1" applyBorder="1" applyAlignment="1">
      <alignment horizontal="left"/>
      <protection/>
    </xf>
    <xf numFmtId="3" fontId="5" fillId="47" borderId="20" xfId="286" applyNumberFormat="1" applyFont="1" applyFill="1" applyBorder="1" applyAlignment="1">
      <alignment horizontal="center" vertical="center" wrapText="1"/>
      <protection/>
    </xf>
    <xf numFmtId="49" fontId="5" fillId="47" borderId="20" xfId="286" applyNumberFormat="1" applyFont="1" applyFill="1" applyBorder="1" applyAlignment="1">
      <alignment horizontal="left"/>
      <protection/>
    </xf>
    <xf numFmtId="49" fontId="6" fillId="0" borderId="19" xfId="286" applyNumberFormat="1" applyFont="1" applyFill="1" applyBorder="1" applyAlignment="1">
      <alignment horizontal="center"/>
      <protection/>
    </xf>
    <xf numFmtId="49" fontId="6" fillId="0" borderId="19" xfId="286" applyNumberFormat="1" applyFont="1" applyFill="1" applyBorder="1" applyAlignment="1">
      <alignment horizontal="left"/>
      <protection/>
    </xf>
    <xf numFmtId="3" fontId="5" fillId="0" borderId="19" xfId="286" applyNumberFormat="1" applyFont="1" applyFill="1" applyBorder="1" applyAlignment="1">
      <alignment horizontal="center" vertical="center" wrapText="1"/>
      <protection/>
    </xf>
    <xf numFmtId="49" fontId="15" fillId="0" borderId="0" xfId="286" applyNumberFormat="1" applyFont="1" applyFill="1" applyBorder="1" applyAlignment="1">
      <alignment vertical="center" wrapText="1"/>
      <protection/>
    </xf>
    <xf numFmtId="49" fontId="70" fillId="0" borderId="0" xfId="286" applyNumberFormat="1" applyFont="1" applyFill="1">
      <alignment/>
      <protection/>
    </xf>
    <xf numFmtId="49" fontId="4" fillId="0" borderId="0" xfId="286" applyNumberFormat="1" applyFont="1" applyFill="1">
      <alignment/>
      <protection/>
    </xf>
    <xf numFmtId="49" fontId="0" fillId="47" borderId="0" xfId="286" applyNumberFormat="1" applyFont="1" applyFill="1">
      <alignment/>
      <protection/>
    </xf>
    <xf numFmtId="49" fontId="3" fillId="47" borderId="0" xfId="286" applyNumberFormat="1" applyFont="1" applyFill="1" applyAlignment="1">
      <alignment horizontal="center"/>
      <protection/>
    </xf>
    <xf numFmtId="49" fontId="22" fillId="0" borderId="0" xfId="286" applyNumberFormat="1" applyFont="1" applyFill="1">
      <alignment/>
      <protection/>
    </xf>
    <xf numFmtId="49" fontId="3" fillId="0" borderId="0" xfId="286" applyNumberFormat="1" applyFont="1" applyFill="1">
      <alignment/>
      <protection/>
    </xf>
    <xf numFmtId="49" fontId="13" fillId="0" borderId="0" xfId="286" applyNumberFormat="1" applyFont="1" applyFill="1" applyAlignment="1">
      <alignment/>
      <protection/>
    </xf>
    <xf numFmtId="49" fontId="13" fillId="0" borderId="0" xfId="286" applyNumberFormat="1" applyFont="1" applyFill="1" applyAlignment="1">
      <alignment wrapText="1"/>
      <protection/>
    </xf>
    <xf numFmtId="49" fontId="13" fillId="0" borderId="0" xfId="286" applyNumberFormat="1" applyFont="1" applyFill="1" applyAlignment="1">
      <alignment horizontal="left" wrapText="1"/>
      <protection/>
    </xf>
    <xf numFmtId="49" fontId="0" fillId="0" borderId="0" xfId="286" applyNumberFormat="1" applyAlignment="1">
      <alignment horizontal="left"/>
      <protection/>
    </xf>
    <xf numFmtId="49" fontId="0" fillId="0" borderId="0" xfId="286" applyNumberFormat="1" applyFont="1" applyBorder="1" applyAlignment="1">
      <alignment horizontal="left"/>
      <protection/>
    </xf>
    <xf numFmtId="49" fontId="13" fillId="0" borderId="20" xfId="286" applyNumberFormat="1" applyFont="1" applyBorder="1" applyAlignment="1">
      <alignment horizontal="center"/>
      <protection/>
    </xf>
    <xf numFmtId="3" fontId="4" fillId="4" borderId="20" xfId="287" applyNumberFormat="1" applyFont="1" applyFill="1" applyBorder="1" applyAlignment="1">
      <alignment horizontal="center" vertical="center"/>
      <protection/>
    </xf>
    <xf numFmtId="3" fontId="32" fillId="47" borderId="20" xfId="286" applyNumberFormat="1" applyFont="1" applyFill="1" applyBorder="1" applyAlignment="1">
      <alignment horizontal="center" vertical="center"/>
      <protection/>
    </xf>
    <xf numFmtId="3" fontId="17" fillId="3" borderId="20" xfId="286" applyNumberFormat="1" applyFont="1" applyFill="1" applyBorder="1" applyAlignment="1">
      <alignment horizontal="center" vertical="center"/>
      <protection/>
    </xf>
    <xf numFmtId="3" fontId="34" fillId="3"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4" borderId="20" xfId="286" applyNumberFormat="1" applyFont="1" applyFill="1" applyBorder="1" applyAlignment="1">
      <alignment horizontal="center" vertical="center"/>
      <protection/>
    </xf>
    <xf numFmtId="3" fontId="7" fillId="4" borderId="20" xfId="287" applyNumberFormat="1" applyFont="1" applyFill="1" applyBorder="1" applyAlignment="1">
      <alignment horizontal="center" vertical="center"/>
      <protection/>
    </xf>
    <xf numFmtId="49" fontId="7" fillId="0" borderId="20" xfId="286" applyNumberFormat="1" applyFont="1" applyBorder="1" applyAlignment="1">
      <alignment horizontal="center" vertical="center"/>
      <protection/>
    </xf>
    <xf numFmtId="49" fontId="7" fillId="47" borderId="20" xfId="286" applyNumberFormat="1" applyFont="1" applyFill="1" applyBorder="1" applyAlignment="1">
      <alignment horizontal="left" vertical="center"/>
      <protection/>
    </xf>
    <xf numFmtId="3" fontId="4" fillId="47" borderId="20" xfId="286" applyNumberFormat="1" applyFont="1" applyFill="1" applyBorder="1" applyAlignment="1">
      <alignment horizontal="center" vertical="center"/>
      <protection/>
    </xf>
    <xf numFmtId="3" fontId="4" fillId="44" borderId="20" xfId="286" applyNumberFormat="1" applyFont="1" applyFill="1" applyBorder="1" applyAlignment="1">
      <alignment horizontal="center" vertical="center"/>
      <protection/>
    </xf>
    <xf numFmtId="49" fontId="4" fillId="0" borderId="23" xfId="286" applyNumberFormat="1" applyFont="1" applyBorder="1" applyAlignment="1">
      <alignment horizontal="center" vertical="center"/>
      <protection/>
    </xf>
    <xf numFmtId="49" fontId="0" fillId="0" borderId="0" xfId="286" applyNumberFormat="1" applyFont="1" applyAlignment="1">
      <alignment vertical="center"/>
      <protection/>
    </xf>
    <xf numFmtId="3" fontId="4" fillId="0" borderId="20" xfId="286" applyNumberFormat="1" applyFont="1" applyFill="1" applyBorder="1" applyAlignment="1">
      <alignment horizontal="center" vertical="center"/>
      <protection/>
    </xf>
    <xf numFmtId="3" fontId="4" fillId="47" borderId="20" xfId="287" applyNumberFormat="1" applyFont="1" applyFill="1" applyBorder="1" applyAlignment="1">
      <alignment horizontal="center" vertical="center"/>
      <protection/>
    </xf>
    <xf numFmtId="49" fontId="4" fillId="47" borderId="23" xfId="286" applyNumberFormat="1" applyFont="1" applyFill="1" applyBorder="1" applyAlignment="1">
      <alignment horizontal="center" vertical="center"/>
      <protection/>
    </xf>
    <xf numFmtId="9" fontId="20" fillId="0" borderId="0" xfId="300" applyFont="1" applyAlignment="1">
      <alignment vertical="center"/>
    </xf>
    <xf numFmtId="49" fontId="4" fillId="0" borderId="0" xfId="286" applyNumberFormat="1" applyFont="1" applyBorder="1" applyAlignment="1">
      <alignment horizontal="center"/>
      <protection/>
    </xf>
    <xf numFmtId="49" fontId="4" fillId="47" borderId="0" xfId="286" applyNumberFormat="1" applyFont="1" applyFill="1" applyBorder="1" applyAlignment="1">
      <alignment horizontal="left"/>
      <protection/>
    </xf>
    <xf numFmtId="49" fontId="0" fillId="0" borderId="0" xfId="286" applyNumberFormat="1" applyFont="1" applyFill="1" applyBorder="1" applyAlignment="1">
      <alignment horizontal="center"/>
      <protection/>
    </xf>
    <xf numFmtId="3" fontId="4" fillId="47" borderId="19" xfId="287" applyNumberFormat="1" applyFont="1" applyFill="1" applyBorder="1" applyAlignment="1">
      <alignment horizontal="center" vertical="center"/>
      <protection/>
    </xf>
    <xf numFmtId="9" fontId="0" fillId="0" borderId="0" xfId="300" applyFont="1" applyAlignment="1">
      <alignment/>
    </xf>
    <xf numFmtId="49" fontId="28" fillId="0" borderId="0" xfId="286" applyNumberFormat="1" applyFont="1" applyBorder="1" applyAlignment="1">
      <alignment wrapText="1"/>
      <protection/>
    </xf>
    <xf numFmtId="3" fontId="4" fillId="47" borderId="0" xfId="287" applyNumberFormat="1" applyFont="1" applyFill="1" applyBorder="1" applyAlignment="1">
      <alignment horizontal="center" vertical="center"/>
      <protection/>
    </xf>
    <xf numFmtId="49" fontId="28" fillId="0" borderId="0" xfId="286" applyNumberFormat="1" applyFont="1" applyAlignment="1">
      <alignment wrapText="1"/>
      <protection/>
    </xf>
    <xf numFmtId="49" fontId="37" fillId="0" borderId="0" xfId="286" applyNumberFormat="1" applyFont="1">
      <alignment/>
      <protection/>
    </xf>
    <xf numFmtId="49" fontId="37" fillId="0" borderId="0" xfId="286" applyNumberFormat="1" applyFont="1" applyAlignment="1">
      <alignment wrapText="1"/>
      <protection/>
    </xf>
    <xf numFmtId="49" fontId="3" fillId="47" borderId="0" xfId="286" applyNumberFormat="1" applyFont="1" applyFill="1" applyAlignment="1">
      <alignment/>
      <protection/>
    </xf>
    <xf numFmtId="49" fontId="72" fillId="0" borderId="0" xfId="286" applyNumberFormat="1" applyFont="1">
      <alignment/>
      <protection/>
    </xf>
    <xf numFmtId="49" fontId="13" fillId="0" borderId="0" xfId="286" applyNumberFormat="1" applyFont="1" applyBorder="1" applyAlignment="1">
      <alignment wrapText="1"/>
      <protection/>
    </xf>
    <xf numFmtId="49" fontId="0" fillId="0" borderId="0" xfId="288" applyNumberFormat="1" applyFont="1" applyAlignment="1">
      <alignment horizontal="left"/>
      <protection/>
    </xf>
    <xf numFmtId="49" fontId="14" fillId="0" borderId="0" xfId="288" applyNumberFormat="1" applyFont="1" applyAlignment="1">
      <alignment wrapText="1"/>
      <protection/>
    </xf>
    <xf numFmtId="49" fontId="3" fillId="47" borderId="0" xfId="288" applyNumberFormat="1" applyFont="1" applyFill="1" applyBorder="1" applyAlignment="1">
      <alignment horizontal="left"/>
      <protection/>
    </xf>
    <xf numFmtId="49" fontId="0" fillId="47" borderId="0" xfId="288" applyNumberFormat="1" applyFont="1" applyFill="1" applyBorder="1" applyAlignment="1">
      <alignment horizontal="left"/>
      <protection/>
    </xf>
    <xf numFmtId="49" fontId="26" fillId="0" borderId="0" xfId="288" applyNumberFormat="1" applyFont="1">
      <alignment/>
      <protection/>
    </xf>
    <xf numFmtId="49" fontId="0" fillId="47" borderId="0" xfId="288" applyNumberFormat="1" applyFont="1" applyFill="1" applyBorder="1" applyAlignment="1">
      <alignment/>
      <protection/>
    </xf>
    <xf numFmtId="49" fontId="3" fillId="0" borderId="0" xfId="288" applyNumberFormat="1" applyFont="1" applyBorder="1" applyAlignment="1">
      <alignment horizontal="left"/>
      <protection/>
    </xf>
    <xf numFmtId="49" fontId="0" fillId="0" borderId="0" xfId="288" applyNumberFormat="1" applyFont="1" applyBorder="1" applyAlignment="1">
      <alignment horizontal="left"/>
      <protection/>
    </xf>
    <xf numFmtId="49" fontId="0" fillId="0" borderId="0" xfId="288" applyNumberFormat="1" applyFont="1" applyBorder="1" applyAlignment="1">
      <alignment/>
      <protection/>
    </xf>
    <xf numFmtId="49" fontId="18" fillId="0" borderId="22" xfId="288" applyNumberFormat="1" applyFont="1" applyBorder="1" applyAlignment="1">
      <alignment horizontal="left"/>
      <protection/>
    </xf>
    <xf numFmtId="49" fontId="3" fillId="0" borderId="22" xfId="288" applyNumberFormat="1" applyFont="1" applyBorder="1" applyAlignment="1">
      <alignment horizontal="left"/>
      <protection/>
    </xf>
    <xf numFmtId="49" fontId="26" fillId="0" borderId="0" xfId="288" applyNumberFormat="1" applyFont="1" applyFill="1">
      <alignment/>
      <protection/>
    </xf>
    <xf numFmtId="49" fontId="26" fillId="0" borderId="0" xfId="288" applyNumberFormat="1" applyFont="1" applyAlignment="1">
      <alignment vertical="center"/>
      <protection/>
    </xf>
    <xf numFmtId="49" fontId="6" fillId="47" borderId="20" xfId="288" applyNumberFormat="1" applyFont="1" applyFill="1" applyBorder="1" applyAlignment="1">
      <alignment horizontal="left" vertical="center"/>
      <protection/>
    </xf>
    <xf numFmtId="49" fontId="1" fillId="0" borderId="0" xfId="288" applyNumberFormat="1" applyFont="1">
      <alignment/>
      <protection/>
    </xf>
    <xf numFmtId="49" fontId="28" fillId="0" borderId="0" xfId="288" applyNumberFormat="1" applyFont="1" applyBorder="1" applyAlignment="1">
      <alignment/>
      <protection/>
    </xf>
    <xf numFmtId="49" fontId="79" fillId="0" borderId="0" xfId="288" applyNumberFormat="1" applyFont="1">
      <alignment/>
      <protection/>
    </xf>
    <xf numFmtId="49" fontId="25" fillId="0" borderId="0" xfId="288" applyNumberFormat="1" applyFont="1" applyBorder="1" applyAlignment="1">
      <alignment/>
      <protection/>
    </xf>
    <xf numFmtId="49" fontId="5" fillId="0" borderId="0" xfId="288" applyNumberFormat="1" applyFont="1">
      <alignment/>
      <protection/>
    </xf>
    <xf numFmtId="49" fontId="28" fillId="0" borderId="0" xfId="288" applyNumberFormat="1" applyFont="1" applyAlignment="1">
      <alignment horizontal="center"/>
      <protection/>
    </xf>
    <xf numFmtId="49" fontId="28" fillId="0" borderId="0" xfId="288" applyNumberFormat="1" applyFont="1">
      <alignment/>
      <protection/>
    </xf>
    <xf numFmtId="49" fontId="79" fillId="0" borderId="0" xfId="288" applyNumberFormat="1" applyFont="1" applyAlignment="1">
      <alignment horizontal="center"/>
      <protection/>
    </xf>
    <xf numFmtId="49" fontId="13" fillId="0" borderId="0" xfId="288" applyNumberFormat="1" applyFont="1" applyBorder="1" applyAlignment="1">
      <alignment wrapText="1"/>
      <protection/>
    </xf>
    <xf numFmtId="49" fontId="81" fillId="0" borderId="0" xfId="288" applyNumberFormat="1" applyFont="1">
      <alignment/>
      <protection/>
    </xf>
    <xf numFmtId="9" fontId="26" fillId="0" borderId="0" xfId="300" applyFont="1" applyAlignment="1">
      <alignment/>
    </xf>
    <xf numFmtId="3" fontId="0" fillId="47" borderId="0" xfId="288" applyNumberFormat="1" applyFont="1" applyFill="1" applyBorder="1" applyAlignment="1">
      <alignment/>
      <protection/>
    </xf>
    <xf numFmtId="0" fontId="26" fillId="0" borderId="0" xfId="288">
      <alignment/>
      <protection/>
    </xf>
    <xf numFmtId="0" fontId="0" fillId="0" borderId="0" xfId="288" applyFont="1" applyAlignment="1">
      <alignment horizontal="left"/>
      <protection/>
    </xf>
    <xf numFmtId="0" fontId="0" fillId="0" borderId="0" xfId="288" applyFont="1" applyBorder="1" applyAlignment="1">
      <alignment/>
      <protection/>
    </xf>
    <xf numFmtId="0" fontId="0" fillId="0" borderId="0" xfId="288" applyFont="1" applyBorder="1" applyAlignment="1">
      <alignment horizontal="left"/>
      <protection/>
    </xf>
    <xf numFmtId="0" fontId="26" fillId="0" borderId="0" xfId="288" applyFont="1">
      <alignment/>
      <protection/>
    </xf>
    <xf numFmtId="0" fontId="6" fillId="0" borderId="20" xfId="288" applyFont="1" applyBorder="1" applyAlignment="1">
      <alignment horizontal="center" vertical="center"/>
      <protection/>
    </xf>
    <xf numFmtId="0" fontId="6" fillId="47" borderId="20" xfId="288" applyFont="1" applyFill="1" applyBorder="1" applyAlignment="1">
      <alignment horizontal="left" vertical="center"/>
      <protection/>
    </xf>
    <xf numFmtId="9" fontId="26" fillId="0" borderId="0" xfId="300" applyFont="1" applyAlignment="1">
      <alignment vertical="center"/>
    </xf>
    <xf numFmtId="0" fontId="5" fillId="0" borderId="23" xfId="288" applyFont="1" applyBorder="1" applyAlignment="1">
      <alignment horizontal="center" vertical="center"/>
      <protection/>
    </xf>
    <xf numFmtId="0" fontId="26" fillId="0" borderId="0" xfId="288" applyFont="1" applyAlignment="1">
      <alignment vertical="center"/>
      <protection/>
    </xf>
    <xf numFmtId="0" fontId="1" fillId="0" borderId="0" xfId="288" applyFont="1">
      <alignment/>
      <protection/>
    </xf>
    <xf numFmtId="0" fontId="25" fillId="0" borderId="0" xfId="288" applyFont="1" applyBorder="1" applyAlignment="1">
      <alignment horizontal="center" wrapText="1"/>
      <protection/>
    </xf>
    <xf numFmtId="0" fontId="28" fillId="0" borderId="0" xfId="288" applyFont="1" applyBorder="1" applyAlignment="1">
      <alignment wrapText="1"/>
      <protection/>
    </xf>
    <xf numFmtId="0" fontId="25" fillId="0" borderId="0" xfId="288" applyNumberFormat="1" applyFont="1" applyBorder="1" applyAlignment="1">
      <alignment/>
      <protection/>
    </xf>
    <xf numFmtId="0" fontId="79" fillId="0" borderId="0" xfId="288" applyFont="1">
      <alignment/>
      <protection/>
    </xf>
    <xf numFmtId="0" fontId="25" fillId="0" borderId="0" xfId="288" applyNumberFormat="1" applyFont="1" applyBorder="1" applyAlignment="1">
      <alignment horizontal="center"/>
      <protection/>
    </xf>
    <xf numFmtId="0" fontId="5" fillId="0" borderId="0" xfId="288" applyFont="1">
      <alignment/>
      <protection/>
    </xf>
    <xf numFmtId="0" fontId="28" fillId="0" borderId="0" xfId="288" applyFont="1">
      <alignment/>
      <protection/>
    </xf>
    <xf numFmtId="0" fontId="25" fillId="0" borderId="0" xfId="286" applyFont="1" applyAlignment="1">
      <alignment/>
      <protection/>
    </xf>
    <xf numFmtId="49" fontId="19" fillId="0" borderId="0" xfId="288" applyNumberFormat="1" applyFont="1">
      <alignment/>
      <protection/>
    </xf>
    <xf numFmtId="49" fontId="4" fillId="47" borderId="0" xfId="288" applyNumberFormat="1" applyFont="1" applyFill="1" applyBorder="1" applyAlignment="1">
      <alignment horizontal="left"/>
      <protection/>
    </xf>
    <xf numFmtId="49" fontId="4" fillId="0" borderId="0" xfId="288" applyNumberFormat="1" applyFont="1" applyBorder="1" applyAlignment="1">
      <alignment horizontal="left"/>
      <protection/>
    </xf>
    <xf numFmtId="49" fontId="0" fillId="0" borderId="22" xfId="288" applyNumberFormat="1" applyFont="1" applyBorder="1" applyAlignment="1">
      <alignment/>
      <protection/>
    </xf>
    <xf numFmtId="49" fontId="6" fillId="0" borderId="20" xfId="288" applyNumberFormat="1" applyFont="1" applyFill="1" applyBorder="1" applyAlignment="1">
      <alignment horizontal="center" vertical="center" wrapText="1"/>
      <protection/>
    </xf>
    <xf numFmtId="49" fontId="5" fillId="0" borderId="24" xfId="288" applyNumberFormat="1" applyFont="1" applyFill="1" applyBorder="1">
      <alignment/>
      <protection/>
    </xf>
    <xf numFmtId="49" fontId="5" fillId="0" borderId="0" xfId="288" applyNumberFormat="1" applyFont="1" applyFill="1">
      <alignment/>
      <protection/>
    </xf>
    <xf numFmtId="49" fontId="24" fillId="0" borderId="0" xfId="288" applyNumberFormat="1" applyFont="1" applyFill="1">
      <alignment/>
      <protection/>
    </xf>
    <xf numFmtId="49" fontId="6" fillId="0" borderId="25" xfId="288" applyNumberFormat="1" applyFont="1" applyFill="1" applyBorder="1" applyAlignment="1">
      <alignment horizontal="center" vertical="center" wrapText="1"/>
      <protection/>
    </xf>
    <xf numFmtId="49" fontId="19" fillId="0" borderId="20" xfId="288" applyNumberFormat="1" applyFont="1" applyFill="1" applyBorder="1" applyAlignment="1">
      <alignment horizontal="center" vertical="center"/>
      <protection/>
    </xf>
    <xf numFmtId="49" fontId="19" fillId="0" borderId="20" xfId="288" applyNumberFormat="1" applyFont="1" applyBorder="1" applyAlignment="1">
      <alignment horizontal="center" vertical="center"/>
      <protection/>
    </xf>
    <xf numFmtId="49" fontId="5" fillId="0" borderId="0" xfId="288" applyNumberFormat="1" applyFont="1" applyAlignment="1">
      <alignment vertical="center"/>
      <protection/>
    </xf>
    <xf numFmtId="3" fontId="29" fillId="3" borderId="20" xfId="288" applyNumberFormat="1" applyFont="1" applyFill="1" applyBorder="1" applyAlignment="1">
      <alignment horizontal="center" vertical="center"/>
      <protection/>
    </xf>
    <xf numFmtId="3" fontId="69" fillId="3" borderId="20" xfId="288" applyNumberFormat="1" applyFont="1" applyFill="1" applyBorder="1" applyAlignment="1">
      <alignment horizontal="center" vertical="center"/>
      <protection/>
    </xf>
    <xf numFmtId="3" fontId="29" fillId="4" borderId="20" xfId="288" applyNumberFormat="1" applyFont="1" applyFill="1" applyBorder="1" applyAlignment="1">
      <alignment horizontal="center" vertical="center"/>
      <protection/>
    </xf>
    <xf numFmtId="3" fontId="6" fillId="44" borderId="20" xfId="288" applyNumberFormat="1" applyFont="1" applyFill="1" applyBorder="1" applyAlignment="1">
      <alignment horizontal="center" vertical="center"/>
      <protection/>
    </xf>
    <xf numFmtId="49" fontId="6" fillId="0" borderId="20" xfId="288" applyNumberFormat="1" applyFont="1" applyBorder="1" applyAlignment="1">
      <alignment horizontal="center" vertical="center"/>
      <protection/>
    </xf>
    <xf numFmtId="3" fontId="5" fillId="47" borderId="20" xfId="288" applyNumberFormat="1" applyFont="1" applyFill="1" applyBorder="1" applyAlignment="1">
      <alignment horizontal="center" vertical="center"/>
      <protection/>
    </xf>
    <xf numFmtId="49" fontId="6" fillId="0" borderId="23" xfId="288" applyNumberFormat="1" applyFont="1" applyBorder="1" applyAlignment="1">
      <alignment horizontal="center" vertical="center"/>
      <protection/>
    </xf>
    <xf numFmtId="49" fontId="5" fillId="0" borderId="23" xfId="288" applyNumberFormat="1" applyFont="1" applyBorder="1" applyAlignment="1">
      <alignment horizontal="center" vertical="center"/>
      <protection/>
    </xf>
    <xf numFmtId="3" fontId="5" fillId="0" borderId="20" xfId="288" applyNumberFormat="1" applyFont="1" applyBorder="1" applyAlignment="1">
      <alignment horizontal="center" vertical="center"/>
      <protection/>
    </xf>
    <xf numFmtId="49" fontId="87" fillId="0" borderId="0" xfId="288" applyNumberFormat="1" applyFont="1">
      <alignment/>
      <protection/>
    </xf>
    <xf numFmtId="49" fontId="26" fillId="0" borderId="0" xfId="288" applyNumberFormat="1">
      <alignment/>
      <protection/>
    </xf>
    <xf numFmtId="49" fontId="28" fillId="0" borderId="0" xfId="288" applyNumberFormat="1" applyFont="1" applyBorder="1" applyAlignment="1">
      <alignment wrapText="1"/>
      <protection/>
    </xf>
    <xf numFmtId="49" fontId="21" fillId="0" borderId="0" xfId="288" applyNumberFormat="1" applyFont="1">
      <alignment/>
      <protection/>
    </xf>
    <xf numFmtId="49" fontId="31" fillId="0" borderId="0" xfId="288" applyNumberFormat="1" applyFont="1">
      <alignment/>
      <protection/>
    </xf>
    <xf numFmtId="49" fontId="31" fillId="0" borderId="0" xfId="288" applyNumberFormat="1" applyFont="1" applyAlignment="1">
      <alignment horizontal="center"/>
      <protection/>
    </xf>
    <xf numFmtId="0" fontId="4" fillId="0" borderId="0" xfId="288" applyNumberFormat="1" applyFont="1" applyAlignment="1">
      <alignment horizontal="left"/>
      <protection/>
    </xf>
    <xf numFmtId="0" fontId="5" fillId="0" borderId="0" xfId="288" applyFont="1" applyAlignment="1">
      <alignment/>
      <protection/>
    </xf>
    <xf numFmtId="3" fontId="5" fillId="0" borderId="0" xfId="288" applyNumberFormat="1" applyFont="1">
      <alignment/>
      <protection/>
    </xf>
    <xf numFmtId="0" fontId="7" fillId="0" borderId="0" xfId="288" applyFont="1" applyBorder="1" applyAlignment="1">
      <alignment/>
      <protection/>
    </xf>
    <xf numFmtId="0" fontId="26" fillId="0" borderId="24" xfId="288" applyFont="1" applyBorder="1">
      <alignment/>
      <protection/>
    </xf>
    <xf numFmtId="0" fontId="26" fillId="0" borderId="0" xfId="288" applyFont="1" applyBorder="1">
      <alignment/>
      <protection/>
    </xf>
    <xf numFmtId="0" fontId="12" fillId="0" borderId="20" xfId="288" applyFont="1" applyBorder="1" applyAlignment="1">
      <alignment horizontal="center" vertical="center" wrapText="1"/>
      <protection/>
    </xf>
    <xf numFmtId="0" fontId="19" fillId="0" borderId="23" xfId="288" applyFont="1" applyFill="1" applyBorder="1" applyAlignment="1">
      <alignment horizontal="center" vertical="center"/>
      <protection/>
    </xf>
    <xf numFmtId="0" fontId="19" fillId="0" borderId="20" xfId="288" applyFont="1" applyFill="1" applyBorder="1" applyAlignment="1">
      <alignment horizontal="center" vertical="center"/>
      <protection/>
    </xf>
    <xf numFmtId="0" fontId="19" fillId="0" borderId="20" xfId="288" applyFont="1" applyBorder="1" applyAlignment="1">
      <alignment horizontal="center" vertical="center"/>
      <protection/>
    </xf>
    <xf numFmtId="3" fontId="20" fillId="3" borderId="20" xfId="288" applyNumberFormat="1" applyFont="1" applyFill="1" applyBorder="1" applyAlignment="1">
      <alignment horizontal="center" vertical="center"/>
      <protection/>
    </xf>
    <xf numFmtId="3" fontId="35" fillId="3" borderId="20" xfId="288" applyNumberFormat="1" applyFont="1" applyFill="1" applyBorder="1" applyAlignment="1">
      <alignment horizontal="center" vertical="center"/>
      <protection/>
    </xf>
    <xf numFmtId="3" fontId="3" fillId="44" borderId="23" xfId="288" applyNumberFormat="1" applyFont="1" applyFill="1" applyBorder="1" applyAlignment="1">
      <alignment horizontal="center" vertical="center"/>
      <protection/>
    </xf>
    <xf numFmtId="3" fontId="0" fillId="48" borderId="23" xfId="288" applyNumberFormat="1" applyFont="1" applyFill="1" applyBorder="1" applyAlignment="1">
      <alignment horizontal="center" vertical="center"/>
      <protection/>
    </xf>
    <xf numFmtId="3" fontId="0" fillId="0" borderId="20" xfId="288" applyNumberFormat="1" applyFont="1" applyBorder="1" applyAlignment="1">
      <alignment horizontal="center" vertical="center"/>
      <protection/>
    </xf>
    <xf numFmtId="3" fontId="0" fillId="0" borderId="26" xfId="288" applyNumberFormat="1" applyFont="1" applyBorder="1" applyAlignment="1">
      <alignment horizontal="center" vertical="center"/>
      <protection/>
    </xf>
    <xf numFmtId="0" fontId="6" fillId="0" borderId="23" xfId="288" applyFont="1" applyBorder="1" applyAlignment="1">
      <alignment horizontal="center" vertical="center"/>
      <protection/>
    </xf>
    <xf numFmtId="3" fontId="0" fillId="44" borderId="23" xfId="288" applyNumberFormat="1" applyFont="1" applyFill="1" applyBorder="1" applyAlignment="1">
      <alignment horizontal="center" vertical="center"/>
      <protection/>
    </xf>
    <xf numFmtId="3" fontId="0" fillId="47" borderId="20" xfId="288" applyNumberFormat="1" applyFont="1" applyFill="1" applyBorder="1" applyAlignment="1">
      <alignment horizontal="center" vertical="center"/>
      <protection/>
    </xf>
    <xf numFmtId="3" fontId="0" fillId="47" borderId="26" xfId="288" applyNumberFormat="1" applyFont="1" applyFill="1" applyBorder="1" applyAlignment="1">
      <alignment horizontal="center" vertical="center"/>
      <protection/>
    </xf>
    <xf numFmtId="0" fontId="28" fillId="0" borderId="0" xfId="288" applyNumberFormat="1" applyFont="1" applyBorder="1" applyAlignment="1">
      <alignment/>
      <protection/>
    </xf>
    <xf numFmtId="0" fontId="88" fillId="0" borderId="0" xfId="288" applyFont="1">
      <alignment/>
      <protection/>
    </xf>
    <xf numFmtId="0" fontId="16" fillId="0" borderId="0" xfId="288" applyFont="1">
      <alignment/>
      <protection/>
    </xf>
    <xf numFmtId="0" fontId="27" fillId="0" borderId="0" xfId="288" applyFont="1">
      <alignment/>
      <protection/>
    </xf>
    <xf numFmtId="0" fontId="13" fillId="0" borderId="0" xfId="288" applyFont="1">
      <alignment/>
      <protection/>
    </xf>
    <xf numFmtId="49" fontId="13" fillId="0" borderId="0" xfId="288" applyNumberFormat="1" applyFont="1">
      <alignment/>
      <protection/>
    </xf>
    <xf numFmtId="0" fontId="81" fillId="0" borderId="0" xfId="288" applyFont="1">
      <alignment/>
      <protection/>
    </xf>
    <xf numFmtId="49" fontId="18" fillId="0" borderId="0" xfId="288" applyNumberFormat="1" applyFont="1" applyBorder="1" applyAlignment="1">
      <alignment/>
      <protection/>
    </xf>
    <xf numFmtId="49" fontId="26" fillId="0" borderId="0" xfId="288" applyNumberFormat="1" applyFont="1" applyAlignment="1">
      <alignment horizontal="center"/>
      <protection/>
    </xf>
    <xf numFmtId="3" fontId="19" fillId="47" borderId="22" xfId="288" applyNumberFormat="1" applyFont="1" applyFill="1" applyBorder="1" applyAlignment="1">
      <alignment horizontal="center"/>
      <protection/>
    </xf>
    <xf numFmtId="49" fontId="5" fillId="0" borderId="22" xfId="288" applyNumberFormat="1" applyFont="1" applyBorder="1" applyAlignment="1">
      <alignment/>
      <protection/>
    </xf>
    <xf numFmtId="49" fontId="26" fillId="0" borderId="0" xfId="288" applyNumberFormat="1" applyFill="1">
      <alignment/>
      <protection/>
    </xf>
    <xf numFmtId="49" fontId="26" fillId="0" borderId="0" xfId="288" applyNumberFormat="1" applyFill="1" applyAlignment="1">
      <alignment vertical="center" wrapText="1"/>
      <protection/>
    </xf>
    <xf numFmtId="49" fontId="26" fillId="0" borderId="0" xfId="288" applyNumberFormat="1" applyAlignment="1">
      <alignment vertical="center"/>
      <protection/>
    </xf>
    <xf numFmtId="3" fontId="5" fillId="44" borderId="20" xfId="288" applyNumberFormat="1" applyFont="1" applyFill="1" applyBorder="1" applyAlignment="1">
      <alignment horizontal="center" vertical="center"/>
      <protection/>
    </xf>
    <xf numFmtId="3" fontId="26" fillId="0" borderId="20" xfId="288" applyNumberFormat="1" applyFont="1" applyBorder="1" applyAlignment="1">
      <alignment horizontal="center" vertical="center"/>
      <protection/>
    </xf>
    <xf numFmtId="0" fontId="5" fillId="0" borderId="20" xfId="288" applyFont="1" applyBorder="1" applyAlignment="1">
      <alignment horizontal="center" vertical="center"/>
      <protection/>
    </xf>
    <xf numFmtId="3" fontId="5" fillId="0" borderId="20" xfId="288" applyNumberFormat="1" applyFont="1" applyFill="1" applyBorder="1" applyAlignment="1">
      <alignment horizontal="center" vertical="center"/>
      <protection/>
    </xf>
    <xf numFmtId="3" fontId="26" fillId="0" borderId="20" xfId="288" applyNumberFormat="1" applyFont="1" applyFill="1" applyBorder="1" applyAlignment="1">
      <alignment horizontal="center" vertical="center"/>
      <protection/>
    </xf>
    <xf numFmtId="49" fontId="26" fillId="0" borderId="0" xfId="288" applyNumberFormat="1" applyAlignment="1">
      <alignment horizontal="center"/>
      <protection/>
    </xf>
    <xf numFmtId="49" fontId="72" fillId="0" borderId="0" xfId="288" applyNumberFormat="1" applyFont="1" applyAlignment="1">
      <alignment horizontal="left"/>
      <protection/>
    </xf>
    <xf numFmtId="49" fontId="31" fillId="0" borderId="0" xfId="288" applyNumberFormat="1" applyFont="1" applyAlignment="1">
      <alignment/>
      <protection/>
    </xf>
    <xf numFmtId="49" fontId="3" fillId="47" borderId="0" xfId="288" applyNumberFormat="1" applyFont="1" applyFill="1" applyBorder="1" applyAlignment="1">
      <alignment/>
      <protection/>
    </xf>
    <xf numFmtId="49" fontId="3" fillId="0" borderId="0" xfId="288" applyNumberFormat="1" applyFont="1" applyAlignment="1">
      <alignment/>
      <protection/>
    </xf>
    <xf numFmtId="49" fontId="3" fillId="0" borderId="0" xfId="288" applyNumberFormat="1" applyFont="1" applyBorder="1" applyAlignment="1">
      <alignment/>
      <protection/>
    </xf>
    <xf numFmtId="49" fontId="6" fillId="0" borderId="22" xfId="288" applyNumberFormat="1" applyFont="1" applyBorder="1" applyAlignment="1">
      <alignment/>
      <protection/>
    </xf>
    <xf numFmtId="3" fontId="19" fillId="0" borderId="20" xfId="288" applyNumberFormat="1" applyFont="1" applyBorder="1" applyAlignment="1">
      <alignment horizontal="center" vertical="center"/>
      <protection/>
    </xf>
    <xf numFmtId="49" fontId="26" fillId="47" borderId="0" xfId="288" applyNumberFormat="1" applyFont="1" applyFill="1" applyAlignment="1">
      <alignment vertical="center"/>
      <protection/>
    </xf>
    <xf numFmtId="3" fontId="26" fillId="47" borderId="20" xfId="288" applyNumberFormat="1" applyFont="1" applyFill="1" applyBorder="1" applyAlignment="1">
      <alignment horizontal="center" vertical="center"/>
      <protection/>
    </xf>
    <xf numFmtId="3" fontId="91" fillId="0" borderId="20" xfId="288" applyNumberFormat="1" applyFont="1" applyBorder="1" applyAlignment="1">
      <alignment horizontal="center" vertical="center"/>
      <protection/>
    </xf>
    <xf numFmtId="0" fontId="5" fillId="0" borderId="19" xfId="288" applyFont="1" applyFill="1" applyBorder="1" applyAlignment="1">
      <alignment horizontal="center" vertical="center"/>
      <protection/>
    </xf>
    <xf numFmtId="49" fontId="6" fillId="0" borderId="19" xfId="286" applyNumberFormat="1" applyFont="1" applyFill="1" applyBorder="1" applyAlignment="1">
      <alignment horizontal="left" vertical="center"/>
      <protection/>
    </xf>
    <xf numFmtId="3" fontId="5" fillId="0" borderId="19" xfId="288" applyNumberFormat="1" applyFont="1" applyFill="1" applyBorder="1" applyAlignment="1">
      <alignment horizontal="center" vertical="center"/>
      <protection/>
    </xf>
    <xf numFmtId="3" fontId="19" fillId="0" borderId="19" xfId="288" applyNumberFormat="1" applyFont="1" applyFill="1" applyBorder="1" applyAlignment="1">
      <alignment horizontal="center" vertical="center"/>
      <protection/>
    </xf>
    <xf numFmtId="3" fontId="26" fillId="0" borderId="19" xfId="288" applyNumberFormat="1" applyFont="1" applyFill="1" applyBorder="1" applyAlignment="1">
      <alignment vertical="center"/>
      <protection/>
    </xf>
    <xf numFmtId="3" fontId="92" fillId="0" borderId="19" xfId="288" applyNumberFormat="1" applyFont="1" applyFill="1" applyBorder="1" applyAlignment="1">
      <alignment vertical="center"/>
      <protection/>
    </xf>
    <xf numFmtId="49" fontId="31" fillId="0" borderId="0" xfId="288" applyNumberFormat="1" applyFont="1" applyBorder="1" applyAlignment="1">
      <alignment/>
      <protection/>
    </xf>
    <xf numFmtId="49" fontId="28" fillId="0" borderId="0" xfId="288" applyNumberFormat="1" applyFont="1" applyBorder="1" applyAlignment="1">
      <alignment horizontal="center"/>
      <protection/>
    </xf>
    <xf numFmtId="49" fontId="28" fillId="0" borderId="0" xfId="288" applyNumberFormat="1" applyFont="1" applyAlignment="1">
      <alignment/>
      <protection/>
    </xf>
    <xf numFmtId="0" fontId="5" fillId="47" borderId="0" xfId="288" applyFont="1" applyFill="1" applyBorder="1" applyAlignment="1">
      <alignment/>
      <protection/>
    </xf>
    <xf numFmtId="49" fontId="93" fillId="0" borderId="0" xfId="288" applyNumberFormat="1" applyFont="1">
      <alignment/>
      <protection/>
    </xf>
    <xf numFmtId="49" fontId="94" fillId="0" borderId="0" xfId="288" applyNumberFormat="1" applyFont="1">
      <alignment/>
      <protection/>
    </xf>
    <xf numFmtId="49" fontId="95" fillId="0" borderId="0" xfId="288" applyNumberFormat="1" applyFont="1" applyAlignment="1">
      <alignment horizontal="center"/>
      <protection/>
    </xf>
    <xf numFmtId="49" fontId="25" fillId="47" borderId="0" xfId="286" applyNumberFormat="1" applyFont="1" applyFill="1" applyAlignment="1">
      <alignment/>
      <protection/>
    </xf>
    <xf numFmtId="49" fontId="80" fillId="0" borderId="0" xfId="288" applyNumberFormat="1" applyFont="1">
      <alignment/>
      <protection/>
    </xf>
    <xf numFmtId="49" fontId="31" fillId="0" borderId="0" xfId="288" applyNumberFormat="1" applyFont="1" applyBorder="1" applyAlignment="1">
      <alignment wrapText="1"/>
      <protection/>
    </xf>
    <xf numFmtId="49" fontId="83" fillId="0" borderId="0" xfId="288" applyNumberFormat="1" applyFont="1">
      <alignment/>
      <protection/>
    </xf>
    <xf numFmtId="49" fontId="78" fillId="0" borderId="0" xfId="288" applyNumberFormat="1" applyFont="1">
      <alignment/>
      <protection/>
    </xf>
    <xf numFmtId="49" fontId="14" fillId="0" borderId="0" xfId="288" applyNumberFormat="1" applyFont="1" applyFill="1" applyAlignment="1">
      <alignment wrapText="1"/>
      <protection/>
    </xf>
    <xf numFmtId="49" fontId="0" fillId="0" borderId="0" xfId="288" applyNumberFormat="1" applyFont="1" applyFill="1" applyBorder="1" applyAlignment="1">
      <alignment/>
      <protection/>
    </xf>
    <xf numFmtId="49" fontId="3" fillId="0" borderId="0" xfId="288" applyNumberFormat="1" applyFont="1" applyFill="1" applyBorder="1" applyAlignment="1">
      <alignment/>
      <protection/>
    </xf>
    <xf numFmtId="49" fontId="96" fillId="0" borderId="0" xfId="288" applyNumberFormat="1" applyFont="1" applyFill="1">
      <alignment/>
      <protection/>
    </xf>
    <xf numFmtId="49" fontId="26" fillId="0" borderId="0" xfId="288" applyNumberFormat="1" applyFont="1" applyFill="1" applyAlignment="1">
      <alignment horizontal="center"/>
      <protection/>
    </xf>
    <xf numFmtId="49" fontId="19" fillId="0" borderId="0" xfId="288" applyNumberFormat="1" applyFont="1" applyFill="1" applyBorder="1" applyAlignment="1">
      <alignment/>
      <protection/>
    </xf>
    <xf numFmtId="49" fontId="6" fillId="0" borderId="0" xfId="288" applyNumberFormat="1" applyFont="1" applyFill="1" applyBorder="1" applyAlignment="1">
      <alignment/>
      <protection/>
    </xf>
    <xf numFmtId="49" fontId="82" fillId="0" borderId="0" xfId="288" applyNumberFormat="1" applyFont="1" applyFill="1">
      <alignment/>
      <protection/>
    </xf>
    <xf numFmtId="49" fontId="82" fillId="0" borderId="0" xfId="288" applyNumberFormat="1" applyFont="1" applyFill="1" applyAlignment="1">
      <alignment/>
      <protection/>
    </xf>
    <xf numFmtId="49" fontId="19" fillId="0" borderId="27" xfId="288" applyNumberFormat="1" applyFont="1" applyFill="1" applyBorder="1" applyAlignment="1">
      <alignment horizontal="center" vertical="center"/>
      <protection/>
    </xf>
    <xf numFmtId="3" fontId="6" fillId="44" borderId="27" xfId="288" applyNumberFormat="1" applyFont="1" applyFill="1" applyBorder="1" applyAlignment="1">
      <alignment horizontal="center" vertical="center"/>
      <protection/>
    </xf>
    <xf numFmtId="3" fontId="6" fillId="44" borderId="23" xfId="288" applyNumberFormat="1" applyFont="1" applyFill="1" applyBorder="1" applyAlignment="1">
      <alignment horizontal="center" vertical="center"/>
      <protection/>
    </xf>
    <xf numFmtId="49" fontId="3" fillId="0" borderId="0" xfId="288" applyNumberFormat="1" applyFont="1" applyAlignment="1">
      <alignment horizontal="center"/>
      <protection/>
    </xf>
    <xf numFmtId="49" fontId="25" fillId="0" borderId="0" xfId="288" applyNumberFormat="1" applyFont="1">
      <alignment/>
      <protection/>
    </xf>
    <xf numFmtId="49" fontId="3" fillId="0" borderId="0" xfId="288" applyNumberFormat="1" applyFont="1">
      <alignment/>
      <protection/>
    </xf>
    <xf numFmtId="49" fontId="28" fillId="0" borderId="0" xfId="288" applyNumberFormat="1" applyFont="1">
      <alignment/>
      <protection/>
    </xf>
    <xf numFmtId="3" fontId="3" fillId="47" borderId="0" xfId="288" applyNumberFormat="1" applyFont="1" applyFill="1" applyBorder="1" applyAlignment="1">
      <alignment/>
      <protection/>
    </xf>
    <xf numFmtId="0" fontId="3" fillId="0" borderId="0" xfId="288" applyFont="1">
      <alignment/>
      <protection/>
    </xf>
    <xf numFmtId="0" fontId="4" fillId="0" borderId="0" xfId="288" applyFont="1" applyBorder="1" applyAlignment="1">
      <alignment horizontal="left"/>
      <protection/>
    </xf>
    <xf numFmtId="3" fontId="0" fillId="0" borderId="0" xfId="288" applyNumberFormat="1" applyFont="1" applyAlignment="1">
      <alignment horizontal="left"/>
      <protection/>
    </xf>
    <xf numFmtId="0" fontId="13" fillId="0" borderId="0" xfId="288" applyFont="1" applyBorder="1" applyAlignment="1">
      <alignment/>
      <protection/>
    </xf>
    <xf numFmtId="0" fontId="7" fillId="0" borderId="20" xfId="288" applyFont="1" applyFill="1" applyBorder="1" applyAlignment="1">
      <alignment horizontal="center" vertical="center" wrapText="1"/>
      <protection/>
    </xf>
    <xf numFmtId="0" fontId="3" fillId="0" borderId="0" xfId="288" applyFont="1" applyFill="1" applyBorder="1">
      <alignment/>
      <protection/>
    </xf>
    <xf numFmtId="0" fontId="3" fillId="0" borderId="0" xfId="288" applyFont="1" applyFill="1">
      <alignment/>
      <protection/>
    </xf>
    <xf numFmtId="3" fontId="18" fillId="0" borderId="20" xfId="288" applyNumberFormat="1" applyFont="1" applyBorder="1" applyAlignment="1">
      <alignment horizontal="center" vertical="center"/>
      <protection/>
    </xf>
    <xf numFmtId="0" fontId="0" fillId="0" borderId="0" xfId="288" applyFont="1" applyAlignment="1">
      <alignment horizontal="center" vertical="center"/>
      <protection/>
    </xf>
    <xf numFmtId="3" fontId="4" fillId="44" borderId="20" xfId="288" applyNumberFormat="1" applyFont="1" applyFill="1" applyBorder="1" applyAlignment="1">
      <alignment horizontal="center" vertical="center"/>
      <protection/>
    </xf>
    <xf numFmtId="0" fontId="3" fillId="0" borderId="0" xfId="288" applyFont="1" applyAlignment="1">
      <alignment vertical="center"/>
      <protection/>
    </xf>
    <xf numFmtId="9" fontId="3" fillId="0" borderId="0" xfId="300" applyFont="1" applyAlignment="1">
      <alignment vertical="center"/>
    </xf>
    <xf numFmtId="0" fontId="3" fillId="0" borderId="0" xfId="288" applyFont="1" applyAlignment="1">
      <alignment horizontal="center"/>
      <protection/>
    </xf>
    <xf numFmtId="0" fontId="25" fillId="0" borderId="0" xfId="288" applyFont="1">
      <alignment/>
      <protection/>
    </xf>
    <xf numFmtId="0" fontId="72" fillId="0" borderId="0" xfId="288" applyFont="1" applyAlignment="1">
      <alignment horizontal="center"/>
      <protection/>
    </xf>
    <xf numFmtId="49" fontId="52" fillId="0" borderId="0" xfId="288" applyNumberFormat="1" applyFont="1">
      <alignment/>
      <protection/>
    </xf>
    <xf numFmtId="49" fontId="97" fillId="0" borderId="0" xfId="288" applyNumberFormat="1" applyFont="1" applyBorder="1" applyAlignment="1">
      <alignment wrapText="1"/>
      <protection/>
    </xf>
    <xf numFmtId="0" fontId="31" fillId="0" borderId="0" xfId="28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8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8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8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284"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284"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284" applyNumberFormat="1" applyFont="1" applyFill="1" applyBorder="1" applyAlignment="1" applyProtection="1">
      <alignment horizontal="center" vertical="center"/>
      <protection/>
    </xf>
    <xf numFmtId="10" fontId="28" fillId="0" borderId="20" xfId="162" applyNumberFormat="1" applyFont="1" applyFill="1" applyBorder="1" applyAlignment="1">
      <alignment horizontal="center" vertical="center"/>
      <protection/>
    </xf>
    <xf numFmtId="10" fontId="52"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62" applyNumberFormat="1" applyFont="1" applyFill="1" applyBorder="1" applyAlignment="1">
      <alignment horizontal="center" vertical="center"/>
      <protection/>
    </xf>
    <xf numFmtId="3" fontId="57" fillId="47" borderId="20" xfId="284"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284" applyNumberFormat="1" applyFont="1" applyFill="1" applyBorder="1" applyAlignment="1" applyProtection="1">
      <alignment horizontal="center" vertical="center"/>
      <protection/>
    </xf>
    <xf numFmtId="10" fontId="57"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84" applyNumberFormat="1" applyFont="1" applyFill="1" applyBorder="1" applyAlignment="1" applyProtection="1">
      <alignment horizontal="center" vertical="center"/>
      <protection/>
    </xf>
    <xf numFmtId="3" fontId="4" fillId="47" borderId="37" xfId="28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2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28" fillId="0" borderId="0" xfId="0" applyNumberFormat="1" applyFont="1" applyFill="1" applyAlignment="1">
      <alignment horizontal="left"/>
    </xf>
    <xf numFmtId="49" fontId="4" fillId="49" borderId="0" xfId="0" applyNumberFormat="1" applyFont="1" applyFill="1" applyAlignment="1">
      <alignment/>
    </xf>
    <xf numFmtId="0" fontId="20" fillId="49" borderId="20" xfId="0" applyFont="1" applyFill="1" applyBorder="1" applyAlignment="1">
      <alignment wrapText="1"/>
    </xf>
    <xf numFmtId="0" fontId="0" fillId="49" borderId="38" xfId="0" applyFill="1" applyBorder="1" applyAlignment="1">
      <alignment/>
    </xf>
    <xf numFmtId="210" fontId="4" fillId="0" borderId="0" xfId="0" applyNumberFormat="1" applyFont="1" applyFill="1" applyAlignment="1">
      <alignment/>
    </xf>
    <xf numFmtId="49" fontId="32" fillId="0" borderId="0" xfId="0" applyNumberFormat="1" applyFont="1" applyFill="1" applyAlignment="1">
      <alignment/>
    </xf>
    <xf numFmtId="49" fontId="52" fillId="0" borderId="0" xfId="0" applyNumberFormat="1" applyFont="1" applyFill="1" applyAlignment="1">
      <alignment/>
    </xf>
    <xf numFmtId="4" fontId="4" fillId="0" borderId="0" xfId="0" applyNumberFormat="1" applyFont="1" applyFill="1" applyAlignment="1">
      <alignment/>
    </xf>
    <xf numFmtId="4" fontId="4" fillId="0" borderId="0" xfId="0" applyNumberFormat="1" applyFont="1" applyFill="1" applyBorder="1" applyAlignment="1">
      <alignment/>
    </xf>
    <xf numFmtId="4" fontId="4" fillId="49" borderId="0" xfId="0" applyNumberFormat="1" applyFont="1" applyFill="1" applyAlignment="1">
      <alignment/>
    </xf>
    <xf numFmtId="49" fontId="5" fillId="0" borderId="0" xfId="0" applyNumberFormat="1" applyFont="1" applyFill="1" applyAlignment="1">
      <alignment horizontal="left"/>
    </xf>
    <xf numFmtId="4" fontId="101" fillId="49" borderId="0" xfId="0" applyNumberFormat="1" applyFont="1" applyFill="1" applyBorder="1" applyAlignment="1">
      <alignment/>
    </xf>
    <xf numFmtId="49" fontId="101" fillId="49" borderId="0" xfId="0" applyNumberFormat="1" applyFont="1" applyFill="1" applyBorder="1" applyAlignment="1">
      <alignment/>
    </xf>
    <xf numFmtId="0" fontId="8" fillId="49" borderId="20" xfId="290" applyFont="1" applyFill="1" applyBorder="1" applyAlignment="1" applyProtection="1">
      <alignment horizontal="center" vertical="center" wrapText="1"/>
      <protection/>
    </xf>
    <xf numFmtId="49" fontId="24" fillId="49" borderId="0" xfId="0" applyNumberFormat="1" applyFont="1" applyFill="1" applyAlignment="1">
      <alignment horizontal="left"/>
    </xf>
    <xf numFmtId="210" fontId="0" fillId="49" borderId="0" xfId="0" applyNumberFormat="1" applyFont="1" applyFill="1" applyAlignment="1">
      <alignment horizontal="left"/>
    </xf>
    <xf numFmtId="4" fontId="8" fillId="49" borderId="20" xfId="292" applyNumberFormat="1" applyFont="1" applyFill="1" applyBorder="1" applyAlignment="1">
      <alignment vertical="center" wrapText="1"/>
      <protection/>
    </xf>
    <xf numFmtId="49" fontId="0" fillId="47" borderId="0" xfId="0" applyNumberFormat="1" applyFont="1" applyFill="1" applyAlignment="1">
      <alignment horizontal="left"/>
    </xf>
    <xf numFmtId="210" fontId="0" fillId="47" borderId="0" xfId="0" applyNumberFormat="1" applyFont="1" applyFill="1" applyAlignment="1">
      <alignment horizontal="left"/>
    </xf>
    <xf numFmtId="210" fontId="0" fillId="47" borderId="0" xfId="0" applyNumberFormat="1" applyFont="1" applyFill="1" applyBorder="1" applyAlignment="1">
      <alignment horizontal="left"/>
    </xf>
    <xf numFmtId="4" fontId="0" fillId="47" borderId="0" xfId="0" applyNumberFormat="1" applyFont="1" applyFill="1" applyBorder="1" applyAlignment="1">
      <alignment horizontal="left"/>
    </xf>
    <xf numFmtId="49" fontId="18" fillId="47" borderId="0" xfId="0" applyNumberFormat="1" applyFont="1" applyFill="1" applyAlignment="1">
      <alignment horizontal="left"/>
    </xf>
    <xf numFmtId="49" fontId="0" fillId="47" borderId="0" xfId="0" applyNumberFormat="1" applyFont="1" applyFill="1" applyBorder="1" applyAlignment="1">
      <alignment horizontal="left"/>
    </xf>
    <xf numFmtId="49" fontId="0" fillId="47" borderId="20" xfId="0" applyNumberFormat="1" applyFont="1" applyFill="1" applyBorder="1" applyAlignment="1">
      <alignment horizontal="left"/>
    </xf>
    <xf numFmtId="210" fontId="4" fillId="47" borderId="20" xfId="0" applyNumberFormat="1" applyFont="1" applyFill="1" applyBorder="1" applyAlignment="1" applyProtection="1">
      <alignment horizontal="center" vertical="center" wrapText="1"/>
      <protection/>
    </xf>
    <xf numFmtId="210" fontId="4" fillId="47" borderId="20" xfId="0" applyNumberFormat="1" applyFont="1" applyFill="1" applyBorder="1" applyAlignment="1">
      <alignment horizontal="center" vertical="center" wrapText="1"/>
    </xf>
    <xf numFmtId="210" fontId="30" fillId="47" borderId="20" xfId="0" applyNumberFormat="1" applyFont="1" applyFill="1" applyBorder="1" applyAlignment="1" applyProtection="1">
      <alignment horizontal="left" vertical="center"/>
      <protection/>
    </xf>
    <xf numFmtId="4" fontId="30" fillId="47" borderId="39" xfId="0" applyNumberFormat="1" applyFont="1" applyFill="1" applyBorder="1" applyAlignment="1" applyProtection="1">
      <alignment horizontal="left" vertical="center"/>
      <protection/>
    </xf>
    <xf numFmtId="0" fontId="8" fillId="47" borderId="20" xfId="290" applyFont="1" applyFill="1" applyBorder="1" applyAlignment="1" applyProtection="1">
      <alignment horizontal="center" vertical="center" wrapText="1"/>
      <protection/>
    </xf>
    <xf numFmtId="49" fontId="24" fillId="47" borderId="0" xfId="0" applyNumberFormat="1" applyFont="1" applyFill="1" applyAlignment="1">
      <alignment horizontal="left"/>
    </xf>
    <xf numFmtId="210" fontId="8" fillId="47" borderId="20" xfId="293" applyNumberFormat="1" applyFont="1" applyFill="1" applyBorder="1" applyAlignment="1" applyProtection="1">
      <alignment horizontal="left" vertical="center"/>
      <protection/>
    </xf>
    <xf numFmtId="0" fontId="8" fillId="47" borderId="20" xfId="293" applyFont="1" applyFill="1" applyBorder="1" applyAlignment="1" applyProtection="1">
      <alignment horizontal="left" vertical="center"/>
      <protection/>
    </xf>
    <xf numFmtId="0" fontId="8" fillId="47" borderId="20" xfId="289" applyFont="1" applyFill="1" applyBorder="1" applyAlignment="1">
      <alignment horizontal="left"/>
      <protection/>
    </xf>
    <xf numFmtId="211" fontId="8" fillId="47" borderId="26" xfId="293" applyNumberFormat="1" applyFont="1" applyFill="1" applyBorder="1" applyAlignment="1" applyProtection="1">
      <alignment vertical="center" wrapText="1"/>
      <protection/>
    </xf>
    <xf numFmtId="49" fontId="8" fillId="47" borderId="20" xfId="293" applyNumberFormat="1" applyFont="1" applyFill="1" applyBorder="1" applyAlignment="1" applyProtection="1">
      <alignment horizontal="left" vertical="center"/>
      <protection/>
    </xf>
    <xf numFmtId="49" fontId="8" fillId="47" borderId="20" xfId="290" applyNumberFormat="1" applyFont="1" applyFill="1" applyBorder="1" applyAlignment="1" applyProtection="1">
      <alignment horizontal="center" vertical="center" wrapText="1"/>
      <protection/>
    </xf>
    <xf numFmtId="3" fontId="8" fillId="47" borderId="20" xfId="293" applyNumberFormat="1" applyFont="1" applyFill="1" applyBorder="1" applyAlignment="1" applyProtection="1">
      <alignment horizontal="left" vertical="center" wrapText="1" shrinkToFit="1"/>
      <protection locked="0"/>
    </xf>
    <xf numFmtId="211" fontId="8" fillId="47" borderId="20" xfId="293" applyNumberFormat="1" applyFont="1" applyFill="1" applyBorder="1" applyAlignment="1" applyProtection="1">
      <alignment vertical="center"/>
      <protection/>
    </xf>
    <xf numFmtId="3" fontId="8" fillId="47" borderId="20" xfId="293" applyNumberFormat="1" applyFont="1" applyFill="1" applyBorder="1" applyAlignment="1" applyProtection="1">
      <alignment vertical="center"/>
      <protection/>
    </xf>
    <xf numFmtId="3" fontId="8" fillId="47" borderId="21" xfId="293" applyNumberFormat="1" applyFont="1" applyFill="1" applyBorder="1" applyAlignment="1" applyProtection="1">
      <alignment vertical="center"/>
      <protection/>
    </xf>
    <xf numFmtId="49" fontId="8" fillId="47" borderId="20" xfId="285" applyNumberFormat="1" applyFont="1" applyFill="1" applyBorder="1" applyAlignment="1" applyProtection="1">
      <alignment vertical="center"/>
      <protection locked="0"/>
    </xf>
    <xf numFmtId="0" fontId="8" fillId="47" borderId="20" xfId="0" applyNumberFormat="1" applyFont="1" applyFill="1" applyBorder="1" applyAlignment="1" applyProtection="1">
      <alignment horizontal="left" vertical="center" wrapText="1"/>
      <protection/>
    </xf>
    <xf numFmtId="49" fontId="8" fillId="47" borderId="0" xfId="0" applyNumberFormat="1" applyFont="1" applyFill="1" applyAlignment="1">
      <alignment horizontal="left" vertical="center" wrapText="1"/>
    </xf>
    <xf numFmtId="0" fontId="8" fillId="47" borderId="21" xfId="0" applyNumberFormat="1" applyFont="1" applyFill="1" applyBorder="1" applyAlignment="1" applyProtection="1">
      <alignment horizontal="left" vertical="center" wrapText="1"/>
      <protection/>
    </xf>
    <xf numFmtId="49" fontId="8" fillId="47" borderId="20" xfId="293" applyNumberFormat="1" applyFont="1" applyFill="1" applyBorder="1" applyAlignment="1" applyProtection="1">
      <alignment vertical="center"/>
      <protection/>
    </xf>
    <xf numFmtId="49" fontId="1" fillId="47" borderId="0" xfId="0" applyNumberFormat="1" applyFont="1" applyFill="1" applyBorder="1" applyAlignment="1">
      <alignment horizontal="left"/>
    </xf>
    <xf numFmtId="210" fontId="5" fillId="47" borderId="0" xfId="284" applyNumberFormat="1" applyFont="1" applyFill="1" applyBorder="1" applyAlignment="1" applyProtection="1">
      <alignment horizontal="left" vertical="center"/>
      <protection/>
    </xf>
    <xf numFmtId="210" fontId="28" fillId="47" borderId="0" xfId="0" applyNumberFormat="1" applyFont="1" applyFill="1" applyBorder="1" applyAlignment="1">
      <alignment horizontal="left" wrapText="1"/>
    </xf>
    <xf numFmtId="210" fontId="1" fillId="47" borderId="0" xfId="0" applyNumberFormat="1" applyFont="1" applyFill="1" applyBorder="1" applyAlignment="1">
      <alignment horizontal="left"/>
    </xf>
    <xf numFmtId="0" fontId="28" fillId="47" borderId="0" xfId="0" applyNumberFormat="1" applyFont="1" applyFill="1" applyBorder="1" applyAlignment="1">
      <alignment horizontal="left"/>
    </xf>
    <xf numFmtId="210" fontId="25" fillId="47" borderId="0" xfId="0" applyNumberFormat="1" applyFont="1" applyFill="1" applyBorder="1" applyAlignment="1">
      <alignment horizontal="center" wrapText="1"/>
    </xf>
    <xf numFmtId="0" fontId="28" fillId="47" borderId="0" xfId="0" applyNumberFormat="1" applyFont="1" applyFill="1" applyAlignment="1">
      <alignment horizontal="left"/>
    </xf>
    <xf numFmtId="0" fontId="25" fillId="47" borderId="0" xfId="0" applyNumberFormat="1" applyFont="1" applyFill="1" applyAlignment="1">
      <alignment horizontal="center"/>
    </xf>
    <xf numFmtId="210" fontId="25" fillId="47" borderId="0" xfId="0" applyNumberFormat="1" applyFont="1" applyFill="1" applyAlignment="1">
      <alignment horizontal="center"/>
    </xf>
    <xf numFmtId="4" fontId="25" fillId="47" borderId="0" xfId="0" applyNumberFormat="1" applyFont="1" applyFill="1" applyAlignment="1">
      <alignment horizontal="center"/>
    </xf>
    <xf numFmtId="0" fontId="0" fillId="47" borderId="0" xfId="0" applyNumberFormat="1" applyFont="1" applyFill="1" applyAlignment="1">
      <alignment horizontal="left"/>
    </xf>
    <xf numFmtId="0" fontId="4" fillId="47" borderId="0" xfId="0" applyNumberFormat="1" applyFont="1" applyFill="1" applyAlignment="1">
      <alignment horizontal="left"/>
    </xf>
    <xf numFmtId="0" fontId="4" fillId="47" borderId="0" xfId="0" applyNumberFormat="1" applyFont="1" applyFill="1" applyAlignment="1">
      <alignment horizontal="left" wrapText="1"/>
    </xf>
    <xf numFmtId="0" fontId="25" fillId="47" borderId="0" xfId="0" applyNumberFormat="1" applyFont="1" applyFill="1" applyAlignment="1">
      <alignment horizontal="center" wrapText="1"/>
    </xf>
    <xf numFmtId="210" fontId="25" fillId="47" borderId="0" xfId="0" applyNumberFormat="1" applyFont="1" applyFill="1" applyAlignment="1">
      <alignment horizontal="center" wrapText="1"/>
    </xf>
    <xf numFmtId="4" fontId="0" fillId="47" borderId="0" xfId="0" applyNumberFormat="1" applyFont="1" applyFill="1" applyAlignment="1">
      <alignment horizontal="left"/>
    </xf>
    <xf numFmtId="210" fontId="20" fillId="47" borderId="0" xfId="0" applyNumberFormat="1" applyFont="1" applyFill="1" applyAlignment="1">
      <alignment horizontal="left"/>
    </xf>
    <xf numFmtId="210" fontId="106" fillId="47" borderId="20" xfId="0" applyNumberFormat="1" applyFont="1" applyFill="1" applyBorder="1" applyAlignment="1" applyProtection="1">
      <alignment horizontal="left" vertical="center"/>
      <protection/>
    </xf>
    <xf numFmtId="210" fontId="107" fillId="47" borderId="0" xfId="0" applyNumberFormat="1" applyFont="1" applyFill="1" applyAlignment="1">
      <alignment horizontal="center"/>
    </xf>
    <xf numFmtId="210" fontId="107" fillId="47" borderId="0" xfId="0" applyNumberFormat="1" applyFont="1" applyFill="1" applyAlignment="1">
      <alignment horizontal="center" wrapText="1"/>
    </xf>
    <xf numFmtId="210" fontId="52" fillId="47" borderId="0" xfId="0" applyNumberFormat="1" applyFont="1" applyFill="1" applyBorder="1" applyAlignment="1">
      <alignment horizontal="left" wrapText="1"/>
    </xf>
    <xf numFmtId="210" fontId="107" fillId="47" borderId="0" xfId="0" applyNumberFormat="1" applyFont="1" applyFill="1" applyBorder="1" applyAlignment="1">
      <alignment horizontal="center" wrapText="1"/>
    </xf>
    <xf numFmtId="210" fontId="20" fillId="47" borderId="0" xfId="0" applyNumberFormat="1" applyFont="1" applyFill="1" applyBorder="1" applyAlignment="1">
      <alignment horizontal="left"/>
    </xf>
    <xf numFmtId="210" fontId="108" fillId="47" borderId="0" xfId="0" applyNumberFormat="1" applyFont="1" applyFill="1" applyAlignment="1">
      <alignment horizontal="left"/>
    </xf>
    <xf numFmtId="3" fontId="103" fillId="49" borderId="20" xfId="290" applyNumberFormat="1" applyFont="1" applyFill="1" applyBorder="1" applyAlignment="1" applyProtection="1">
      <alignment horizontal="right" vertical="center" wrapText="1"/>
      <protection/>
    </xf>
    <xf numFmtId="49" fontId="0" fillId="49" borderId="0" xfId="0" applyNumberFormat="1" applyFont="1" applyFill="1" applyAlignment="1">
      <alignment horizontal="left"/>
    </xf>
    <xf numFmtId="0" fontId="103" fillId="49" borderId="20" xfId="293" applyFont="1" applyFill="1" applyBorder="1" applyAlignment="1" applyProtection="1">
      <alignment horizontal="left" vertical="center"/>
      <protection/>
    </xf>
    <xf numFmtId="3" fontId="103" fillId="49" borderId="20" xfId="292" applyNumberFormat="1" applyFont="1" applyFill="1" applyBorder="1" applyAlignment="1" applyProtection="1">
      <alignment horizontal="right" vertical="center" wrapText="1"/>
      <protection/>
    </xf>
    <xf numFmtId="49" fontId="0" fillId="47" borderId="0" xfId="0" applyNumberFormat="1" applyFont="1" applyFill="1" applyAlignment="1">
      <alignment/>
    </xf>
    <xf numFmtId="49" fontId="0" fillId="47" borderId="0" xfId="0" applyNumberFormat="1" applyFont="1" applyFill="1" applyAlignment="1">
      <alignment/>
    </xf>
    <xf numFmtId="49" fontId="0" fillId="47" borderId="0" xfId="0" applyNumberFormat="1" applyFont="1" applyFill="1" applyBorder="1" applyAlignment="1">
      <alignment/>
    </xf>
    <xf numFmtId="210" fontId="0" fillId="47" borderId="0" xfId="0" applyNumberFormat="1" applyFont="1" applyFill="1" applyAlignment="1">
      <alignment/>
    </xf>
    <xf numFmtId="49" fontId="0" fillId="47" borderId="0" xfId="0" applyNumberFormat="1" applyFont="1" applyFill="1" applyAlignment="1">
      <alignment horizontal="center"/>
    </xf>
    <xf numFmtId="49" fontId="18" fillId="47" borderId="0" xfId="0" applyNumberFormat="1" applyFont="1" applyFill="1" applyBorder="1" applyAlignment="1">
      <alignment horizontal="center"/>
    </xf>
    <xf numFmtId="49" fontId="18" fillId="47" borderId="0" xfId="0" applyNumberFormat="1" applyFont="1" applyFill="1" applyBorder="1" applyAlignment="1">
      <alignment/>
    </xf>
    <xf numFmtId="210" fontId="0" fillId="47" borderId="0" xfId="0" applyNumberFormat="1" applyFont="1" applyFill="1" applyBorder="1" applyAlignment="1">
      <alignment/>
    </xf>
    <xf numFmtId="49" fontId="0" fillId="47" borderId="20" xfId="0" applyNumberFormat="1" applyFont="1" applyFill="1" applyBorder="1" applyAlignment="1" applyProtection="1">
      <alignment horizontal="center" vertical="center" wrapText="1"/>
      <protection/>
    </xf>
    <xf numFmtId="49" fontId="0" fillId="47" borderId="20" xfId="0" applyNumberFormat="1" applyFont="1" applyFill="1" applyBorder="1" applyAlignment="1">
      <alignment horizontal="center" vertical="center" wrapText="1"/>
    </xf>
    <xf numFmtId="49" fontId="18" fillId="47" borderId="20" xfId="0" applyNumberFormat="1" applyFont="1" applyFill="1" applyBorder="1" applyAlignment="1" applyProtection="1">
      <alignment horizontal="center" vertical="center"/>
      <protection/>
    </xf>
    <xf numFmtId="49" fontId="18" fillId="47" borderId="39" xfId="0" applyNumberFormat="1" applyFont="1" applyFill="1" applyBorder="1" applyAlignment="1" applyProtection="1">
      <alignment horizontal="center" vertical="center"/>
      <protection/>
    </xf>
    <xf numFmtId="215" fontId="0" fillId="47" borderId="0" xfId="0" applyNumberFormat="1" applyFont="1" applyFill="1" applyAlignment="1">
      <alignment/>
    </xf>
    <xf numFmtId="0" fontId="0" fillId="47" borderId="20" xfId="290" applyFont="1" applyFill="1" applyBorder="1" applyAlignment="1" applyProtection="1">
      <alignment horizontal="center" vertical="center" wrapText="1"/>
      <protection/>
    </xf>
    <xf numFmtId="0" fontId="0" fillId="47" borderId="20" xfId="0" applyFont="1" applyFill="1" applyBorder="1" applyAlignment="1" applyProtection="1">
      <alignment horizontal="left" vertical="center"/>
      <protection/>
    </xf>
    <xf numFmtId="210" fontId="0" fillId="47" borderId="20" xfId="0" applyNumberFormat="1" applyFont="1" applyFill="1" applyBorder="1" applyAlignment="1" applyProtection="1">
      <alignment horizontal="left" vertical="center"/>
      <protection/>
    </xf>
    <xf numFmtId="0" fontId="0" fillId="47" borderId="20" xfId="288" applyFont="1" applyFill="1" applyBorder="1" applyAlignment="1">
      <alignment horizontal="left"/>
      <protection/>
    </xf>
    <xf numFmtId="211" fontId="0" fillId="47" borderId="26" xfId="0" applyNumberFormat="1" applyFont="1" applyFill="1" applyBorder="1" applyAlignment="1" applyProtection="1">
      <alignment vertical="center" wrapText="1"/>
      <protection/>
    </xf>
    <xf numFmtId="49" fontId="0" fillId="47" borderId="20" xfId="0" applyNumberFormat="1" applyFont="1" applyFill="1" applyBorder="1" applyAlignment="1" applyProtection="1">
      <alignment horizontal="left" vertical="center"/>
      <protection/>
    </xf>
    <xf numFmtId="49" fontId="0" fillId="47" borderId="20" xfId="290" applyNumberFormat="1" applyFont="1" applyFill="1" applyBorder="1" applyAlignment="1" applyProtection="1">
      <alignment horizontal="center" vertical="center" wrapText="1"/>
      <protection/>
    </xf>
    <xf numFmtId="3" fontId="0" fillId="47" borderId="20" xfId="0" applyNumberFormat="1" applyFont="1" applyFill="1" applyBorder="1" applyAlignment="1" applyProtection="1">
      <alignment horizontal="left" vertical="center" wrapText="1" shrinkToFit="1"/>
      <protection locked="0"/>
    </xf>
    <xf numFmtId="49" fontId="0" fillId="47" borderId="20" xfId="0" applyNumberFormat="1" applyFont="1" applyFill="1" applyBorder="1" applyAlignment="1" applyProtection="1">
      <alignment vertical="center"/>
      <protection/>
    </xf>
    <xf numFmtId="211" fontId="0" fillId="47" borderId="20" xfId="0" applyNumberFormat="1" applyFont="1" applyFill="1" applyBorder="1" applyAlignment="1" applyProtection="1">
      <alignment vertical="center"/>
      <protection/>
    </xf>
    <xf numFmtId="3" fontId="0" fillId="47" borderId="20" xfId="0" applyNumberFormat="1" applyFont="1" applyFill="1" applyBorder="1" applyAlignment="1" applyProtection="1">
      <alignment vertical="center"/>
      <protection/>
    </xf>
    <xf numFmtId="3" fontId="0" fillId="47" borderId="21" xfId="0" applyNumberFormat="1" applyFont="1" applyFill="1" applyBorder="1" applyAlignment="1" applyProtection="1">
      <alignment vertical="center"/>
      <protection/>
    </xf>
    <xf numFmtId="0" fontId="0" fillId="47" borderId="20" xfId="0" applyNumberFormat="1" applyFont="1" applyFill="1" applyBorder="1" applyAlignment="1" applyProtection="1">
      <alignment horizontal="left" vertical="center" wrapText="1"/>
      <protection/>
    </xf>
    <xf numFmtId="49" fontId="0" fillId="47" borderId="0" xfId="0" applyNumberFormat="1" applyFont="1" applyFill="1" applyAlignment="1">
      <alignment horizontal="left" vertical="center" wrapText="1"/>
    </xf>
    <xf numFmtId="0" fontId="0" fillId="47" borderId="21" xfId="0" applyNumberFormat="1" applyFont="1" applyFill="1" applyBorder="1" applyAlignment="1" applyProtection="1">
      <alignment horizontal="left" vertical="center" wrapText="1"/>
      <protection/>
    </xf>
    <xf numFmtId="0" fontId="28" fillId="47" borderId="0" xfId="0" applyNumberFormat="1" applyFont="1" applyFill="1" applyBorder="1" applyAlignment="1">
      <alignment vertical="center"/>
    </xf>
    <xf numFmtId="0" fontId="25" fillId="47" borderId="0" xfId="0" applyNumberFormat="1" applyFont="1" applyFill="1" applyBorder="1" applyAlignment="1">
      <alignment vertical="center"/>
    </xf>
    <xf numFmtId="0" fontId="25" fillId="47" borderId="0" xfId="0" applyNumberFormat="1" applyFont="1" applyFill="1" applyAlignment="1">
      <alignment/>
    </xf>
    <xf numFmtId="49" fontId="28" fillId="47" borderId="0" xfId="0" applyNumberFormat="1" applyFont="1" applyFill="1" applyBorder="1" applyAlignment="1">
      <alignment/>
    </xf>
    <xf numFmtId="4" fontId="8" fillId="47" borderId="20" xfId="292" applyNumberFormat="1" applyFont="1" applyFill="1" applyBorder="1" applyAlignment="1">
      <alignment vertical="center" wrapText="1"/>
      <protection/>
    </xf>
    <xf numFmtId="3" fontId="8" fillId="47" borderId="20" xfId="0" applyNumberFormat="1" applyFont="1" applyFill="1" applyBorder="1" applyAlignment="1" applyProtection="1">
      <alignment horizontal="right" vertical="center"/>
      <protection/>
    </xf>
    <xf numFmtId="3" fontId="8" fillId="47" borderId="20" xfId="290" applyNumberFormat="1" applyFont="1" applyFill="1" applyBorder="1" applyAlignment="1" applyProtection="1">
      <alignment horizontal="right" vertical="center"/>
      <protection/>
    </xf>
    <xf numFmtId="3" fontId="8" fillId="47" borderId="20" xfId="292" applyNumberFormat="1" applyFont="1" applyFill="1" applyBorder="1" applyAlignment="1" applyProtection="1">
      <alignment horizontal="right" vertical="center" wrapText="1"/>
      <protection/>
    </xf>
    <xf numFmtId="3" fontId="8" fillId="47" borderId="20" xfId="305"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vertical="center"/>
    </xf>
    <xf numFmtId="3" fontId="8" fillId="47" borderId="20" xfId="95" applyNumberFormat="1" applyFont="1" applyFill="1" applyBorder="1" applyAlignment="1">
      <alignment horizontal="right" vertical="center"/>
    </xf>
    <xf numFmtId="3" fontId="8" fillId="47" borderId="20" xfId="301" applyNumberFormat="1" applyFont="1" applyFill="1" applyBorder="1" applyAlignment="1" applyProtection="1">
      <alignment horizontal="right" vertical="center"/>
      <protection/>
    </xf>
    <xf numFmtId="3" fontId="8" fillId="47" borderId="20" xfId="97" applyNumberFormat="1" applyFont="1" applyFill="1" applyBorder="1" applyAlignment="1" applyProtection="1">
      <alignment horizontal="right" vertical="center"/>
      <protection/>
    </xf>
    <xf numFmtId="3" fontId="8" fillId="47" borderId="20" xfId="97" applyNumberFormat="1" applyFont="1" applyFill="1" applyBorder="1" applyAlignment="1">
      <alignment horizontal="right" vertical="center"/>
    </xf>
    <xf numFmtId="3" fontId="8" fillId="47" borderId="20" xfId="307" applyNumberFormat="1" applyFont="1" applyFill="1" applyBorder="1" applyAlignment="1" applyProtection="1">
      <alignment horizontal="right" vertical="center" wrapText="1"/>
      <protection/>
    </xf>
    <xf numFmtId="3" fontId="8" fillId="47" borderId="20" xfId="292" applyNumberFormat="1" applyFont="1" applyFill="1" applyBorder="1" applyAlignment="1">
      <alignment horizontal="right" vertical="center" wrapText="1"/>
      <protection/>
    </xf>
    <xf numFmtId="3" fontId="8" fillId="47" borderId="20" xfId="291" applyNumberFormat="1" applyFont="1" applyFill="1" applyBorder="1" applyAlignment="1" applyProtection="1">
      <alignment horizontal="right" vertical="center" shrinkToFit="1"/>
      <protection/>
    </xf>
    <xf numFmtId="3" fontId="8" fillId="47" borderId="20" xfId="291" applyNumberFormat="1" applyFont="1" applyFill="1" applyBorder="1" applyAlignment="1" applyProtection="1">
      <alignment horizontal="right" vertical="center" shrinkToFit="1"/>
      <protection locked="0"/>
    </xf>
    <xf numFmtId="3" fontId="8" fillId="47" borderId="20" xfId="291" applyNumberFormat="1" applyFont="1" applyFill="1" applyBorder="1" applyAlignment="1">
      <alignment horizontal="right" vertical="center" shrinkToFit="1"/>
      <protection/>
    </xf>
    <xf numFmtId="3" fontId="8" fillId="47" borderId="20" xfId="300" applyNumberFormat="1" applyFont="1" applyFill="1" applyBorder="1" applyAlignment="1" applyProtection="1">
      <alignment horizontal="right" vertical="center" shrinkToFit="1"/>
      <protection/>
    </xf>
    <xf numFmtId="3" fontId="8" fillId="47" borderId="20" xfId="284" applyNumberFormat="1" applyFont="1" applyFill="1" applyBorder="1" applyAlignment="1" applyProtection="1">
      <alignment horizontal="right" vertical="center"/>
      <protection locked="0"/>
    </xf>
    <xf numFmtId="3" fontId="8" fillId="47" borderId="20" xfId="0" applyNumberFormat="1" applyFont="1" applyFill="1" applyBorder="1" applyAlignment="1" applyProtection="1">
      <alignment horizontal="right" vertical="center"/>
      <protection hidden="1"/>
    </xf>
    <xf numFmtId="3" fontId="8" fillId="47" borderId="20" xfId="301" applyNumberFormat="1" applyFont="1" applyFill="1" applyBorder="1" applyAlignment="1" applyProtection="1">
      <alignment horizontal="right" vertical="center"/>
      <protection hidden="1"/>
    </xf>
    <xf numFmtId="3" fontId="8" fillId="47" borderId="21" xfId="290" applyNumberFormat="1" applyFont="1" applyFill="1" applyBorder="1" applyAlignment="1" applyProtection="1">
      <alignment horizontal="right" vertical="center"/>
      <protection/>
    </xf>
    <xf numFmtId="3" fontId="8" fillId="47" borderId="26" xfId="301" applyNumberFormat="1" applyFont="1" applyFill="1" applyBorder="1" applyAlignment="1" applyProtection="1">
      <alignment horizontal="right" vertical="center"/>
      <protection/>
    </xf>
    <xf numFmtId="3" fontId="8" fillId="47" borderId="25" xfId="0" applyNumberFormat="1" applyFont="1" applyFill="1" applyBorder="1" applyAlignment="1">
      <alignment horizontal="right" vertical="center"/>
    </xf>
    <xf numFmtId="0" fontId="8" fillId="49" borderId="20" xfId="293" applyFont="1" applyFill="1" applyBorder="1" applyAlignment="1" applyProtection="1">
      <alignment horizontal="left" vertical="center"/>
      <protection/>
    </xf>
    <xf numFmtId="3" fontId="8" fillId="49" borderId="20" xfId="292" applyNumberFormat="1" applyFont="1" applyFill="1" applyBorder="1" applyAlignment="1" applyProtection="1">
      <alignment horizontal="right" vertical="center" wrapText="1"/>
      <protection/>
    </xf>
    <xf numFmtId="0" fontId="8" fillId="49" borderId="20" xfId="289" applyFont="1" applyFill="1" applyBorder="1" applyAlignment="1">
      <alignment horizontal="left"/>
      <protection/>
    </xf>
    <xf numFmtId="0" fontId="8" fillId="49" borderId="20" xfId="293" applyFont="1" applyFill="1" applyBorder="1" applyAlignment="1" applyProtection="1">
      <alignment horizontal="left" vertical="top"/>
      <protection/>
    </xf>
    <xf numFmtId="3" fontId="0" fillId="49" borderId="20" xfId="290" applyNumberFormat="1" applyFont="1" applyFill="1" applyBorder="1" applyAlignment="1" applyProtection="1">
      <alignment horizontal="right" vertical="center" wrapText="1"/>
      <protection/>
    </xf>
    <xf numFmtId="3" fontId="0" fillId="49" borderId="20" xfId="290" applyNumberFormat="1" applyFont="1" applyFill="1" applyBorder="1" applyAlignment="1">
      <alignment horizontal="right" vertical="center" wrapText="1"/>
      <protection/>
    </xf>
    <xf numFmtId="4" fontId="0" fillId="49" borderId="20" xfId="307" applyNumberFormat="1" applyFont="1" applyFill="1" applyBorder="1" applyAlignment="1">
      <alignment horizontal="right" vertical="center" wrapText="1"/>
    </xf>
    <xf numFmtId="4" fontId="0" fillId="47" borderId="20" xfId="307" applyNumberFormat="1" applyFont="1" applyFill="1" applyBorder="1" applyAlignment="1">
      <alignment horizontal="right" vertical="center" wrapText="1"/>
    </xf>
    <xf numFmtId="3" fontId="0" fillId="47" borderId="20" xfId="0" applyNumberFormat="1" applyFont="1" applyFill="1" applyBorder="1" applyAlignment="1" applyProtection="1">
      <alignment horizontal="right" vertical="center" wrapText="1"/>
      <protection/>
    </xf>
    <xf numFmtId="3" fontId="0" fillId="47" borderId="20" xfId="290" applyNumberFormat="1" applyFont="1" applyFill="1" applyBorder="1" applyAlignment="1" applyProtection="1">
      <alignment horizontal="right" vertical="center" wrapText="1"/>
      <protection/>
    </xf>
    <xf numFmtId="3" fontId="0" fillId="47" borderId="20" xfId="290" applyNumberFormat="1" applyFont="1" applyFill="1" applyBorder="1" applyAlignment="1">
      <alignment horizontal="right" vertical="center" wrapText="1"/>
      <protection/>
    </xf>
    <xf numFmtId="3" fontId="0" fillId="47" borderId="20" xfId="307" applyNumberFormat="1" applyFont="1" applyFill="1" applyBorder="1" applyAlignment="1" applyProtection="1">
      <alignment horizontal="right" vertical="center" wrapText="1"/>
      <protection/>
    </xf>
    <xf numFmtId="3" fontId="0" fillId="47" borderId="20" xfId="307" applyNumberFormat="1" applyFont="1" applyFill="1" applyBorder="1" applyAlignment="1">
      <alignment horizontal="right" vertical="center" wrapText="1"/>
    </xf>
    <xf numFmtId="3" fontId="0" fillId="47" borderId="20" xfId="93" applyNumberFormat="1" applyFont="1" applyFill="1" applyBorder="1" applyAlignment="1" applyProtection="1">
      <alignment horizontal="right" vertical="center" wrapText="1"/>
      <protection locked="0"/>
    </xf>
    <xf numFmtId="3" fontId="0" fillId="47" borderId="20" xfId="97" applyNumberFormat="1" applyFont="1" applyFill="1" applyBorder="1" applyAlignment="1" applyProtection="1">
      <alignment horizontal="right" vertical="center" wrapText="1"/>
      <protection locked="0"/>
    </xf>
    <xf numFmtId="3" fontId="0" fillId="47" borderId="21" xfId="290" applyNumberFormat="1" applyFont="1" applyFill="1" applyBorder="1" applyAlignment="1" applyProtection="1">
      <alignment horizontal="right" vertical="center" wrapText="1"/>
      <protection/>
    </xf>
    <xf numFmtId="215" fontId="0" fillId="49" borderId="0" xfId="0" applyNumberFormat="1" applyFont="1" applyFill="1" applyAlignment="1">
      <alignment/>
    </xf>
    <xf numFmtId="0" fontId="0" fillId="49" borderId="20" xfId="290" applyFont="1" applyFill="1" applyBorder="1" applyAlignment="1" applyProtection="1">
      <alignment horizontal="center" vertical="center" wrapText="1"/>
      <protection/>
    </xf>
    <xf numFmtId="0" fontId="0" fillId="49" borderId="20" xfId="0" applyFont="1" applyFill="1" applyBorder="1" applyAlignment="1" applyProtection="1">
      <alignment horizontal="left" vertical="center"/>
      <protection/>
    </xf>
    <xf numFmtId="0" fontId="0" fillId="49" borderId="20" xfId="288" applyFont="1" applyFill="1" applyBorder="1" applyAlignment="1">
      <alignment horizontal="left"/>
      <protection/>
    </xf>
    <xf numFmtId="3" fontId="0" fillId="49" borderId="20" xfId="307" applyNumberFormat="1" applyFont="1" applyFill="1" applyBorder="1" applyAlignment="1">
      <alignment horizontal="right" vertical="center" wrapText="1"/>
    </xf>
    <xf numFmtId="3" fontId="0" fillId="47" borderId="20" xfId="305" applyNumberFormat="1" applyFont="1" applyFill="1" applyBorder="1" applyAlignment="1" applyProtection="1">
      <alignment horizontal="right" vertical="center" wrapText="1"/>
      <protection/>
    </xf>
    <xf numFmtId="3" fontId="0" fillId="47" borderId="20" xfId="0" applyNumberFormat="1" applyFont="1" applyFill="1" applyBorder="1" applyAlignment="1">
      <alignment horizontal="right" vertical="center" wrapText="1"/>
    </xf>
    <xf numFmtId="3" fontId="0" fillId="47" borderId="0" xfId="0" applyNumberFormat="1" applyFont="1" applyFill="1" applyAlignment="1">
      <alignment horizontal="right" vertical="center" wrapText="1"/>
    </xf>
    <xf numFmtId="3" fontId="0" fillId="47" borderId="20" xfId="301" applyNumberFormat="1" applyFont="1" applyFill="1" applyBorder="1" applyAlignment="1" applyProtection="1">
      <alignment horizontal="right" vertical="center" wrapText="1"/>
      <protection/>
    </xf>
    <xf numFmtId="3" fontId="0" fillId="47" borderId="20" xfId="291" applyNumberFormat="1" applyFont="1" applyFill="1" applyBorder="1" applyAlignment="1" applyProtection="1">
      <alignment horizontal="right" vertical="center" wrapText="1" shrinkToFit="1"/>
      <protection/>
    </xf>
    <xf numFmtId="3" fontId="0" fillId="47" borderId="20" xfId="291" applyNumberFormat="1" applyFont="1" applyFill="1" applyBorder="1" applyAlignment="1" applyProtection="1">
      <alignment horizontal="right" vertical="center" wrapText="1" shrinkToFit="1"/>
      <protection locked="0"/>
    </xf>
    <xf numFmtId="3" fontId="0" fillId="47" borderId="20" xfId="291" applyNumberFormat="1" applyFont="1" applyFill="1" applyBorder="1" applyAlignment="1">
      <alignment horizontal="right" vertical="center" wrapText="1" shrinkToFit="1"/>
      <protection/>
    </xf>
    <xf numFmtId="3" fontId="0" fillId="49" borderId="20" xfId="0" applyNumberFormat="1" applyFont="1" applyFill="1" applyBorder="1" applyAlignment="1" applyProtection="1">
      <alignment horizontal="right" vertical="center" wrapText="1"/>
      <protection/>
    </xf>
    <xf numFmtId="3" fontId="0" fillId="47" borderId="0" xfId="0" applyNumberFormat="1" applyFont="1" applyFill="1" applyAlignment="1" applyProtection="1">
      <alignment horizontal="right" vertical="center" wrapText="1"/>
      <protection locked="0"/>
    </xf>
    <xf numFmtId="3" fontId="0" fillId="47" borderId="20" xfId="0" applyNumberFormat="1" applyFont="1" applyFill="1" applyBorder="1" applyAlignment="1" applyProtection="1">
      <alignment horizontal="right" vertical="center" wrapText="1"/>
      <protection hidden="1"/>
    </xf>
    <xf numFmtId="3" fontId="0" fillId="47" borderId="20" xfId="301" applyNumberFormat="1" applyFont="1" applyFill="1" applyBorder="1" applyAlignment="1" applyProtection="1">
      <alignment horizontal="right" vertical="center" wrapText="1"/>
      <protection hidden="1"/>
    </xf>
    <xf numFmtId="211" fontId="0" fillId="47" borderId="20" xfId="0" applyNumberFormat="1" applyFont="1" applyFill="1" applyBorder="1" applyAlignment="1" applyProtection="1">
      <alignment horizontal="right" vertical="center"/>
      <protection/>
    </xf>
    <xf numFmtId="211" fontId="0" fillId="47" borderId="20" xfId="0" applyNumberFormat="1" applyFont="1" applyFill="1" applyBorder="1" applyAlignment="1">
      <alignment horizontal="right"/>
    </xf>
    <xf numFmtId="211" fontId="0" fillId="47" borderId="20" xfId="301" applyNumberFormat="1" applyFont="1" applyFill="1" applyBorder="1" applyAlignment="1" applyProtection="1">
      <alignment horizontal="right" vertical="center"/>
      <protection/>
    </xf>
    <xf numFmtId="210" fontId="8" fillId="47" borderId="20" xfId="0" applyNumberFormat="1" applyFont="1" applyFill="1" applyBorder="1" applyAlignment="1" applyProtection="1">
      <alignment horizontal="right"/>
      <protection/>
    </xf>
    <xf numFmtId="210" fontId="8" fillId="47" borderId="20" xfId="301" applyNumberFormat="1" applyFont="1" applyFill="1" applyBorder="1" applyAlignment="1" applyProtection="1">
      <alignment horizontal="right"/>
      <protection/>
    </xf>
    <xf numFmtId="210" fontId="8" fillId="47" borderId="20" xfId="0" applyNumberFormat="1" applyFont="1" applyFill="1" applyBorder="1" applyAlignment="1">
      <alignment horizontal="righ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8" fillId="0" borderId="0" xfId="286" applyNumberFormat="1" applyFont="1" applyAlignment="1">
      <alignment horizontal="center" wrapText="1"/>
      <protection/>
    </xf>
    <xf numFmtId="49" fontId="25" fillId="0" borderId="0" xfId="286" applyNumberFormat="1" applyFont="1" applyAlignment="1">
      <alignment horizontal="center"/>
      <protection/>
    </xf>
    <xf numFmtId="49" fontId="25" fillId="0" borderId="0" xfId="286" applyNumberFormat="1" applyFont="1" applyBorder="1" applyAlignment="1">
      <alignment horizontal="center" wrapText="1"/>
      <protection/>
    </xf>
    <xf numFmtId="49" fontId="65" fillId="0" borderId="0" xfId="286" applyNumberFormat="1" applyFont="1" applyBorder="1" applyAlignment="1">
      <alignment horizontal="center" wrapText="1"/>
      <protection/>
    </xf>
    <xf numFmtId="49" fontId="40" fillId="0" borderId="0" xfId="286" applyNumberFormat="1" applyFont="1" applyBorder="1" applyAlignment="1">
      <alignment horizontal="center" wrapText="1"/>
      <protection/>
    </xf>
    <xf numFmtId="49" fontId="0" fillId="3" borderId="35" xfId="286" applyNumberFormat="1" applyFont="1" applyFill="1" applyBorder="1" applyAlignment="1">
      <alignment horizontal="center"/>
      <protection/>
    </xf>
    <xf numFmtId="49" fontId="0" fillId="3" borderId="19" xfId="286" applyNumberFormat="1" applyFont="1" applyFill="1" applyBorder="1" applyAlignment="1">
      <alignment horizontal="center"/>
      <protection/>
    </xf>
    <xf numFmtId="49" fontId="0" fillId="3" borderId="36" xfId="286" applyNumberFormat="1" applyFont="1" applyFill="1" applyBorder="1" applyAlignment="1">
      <alignment horizontal="center"/>
      <protection/>
    </xf>
    <xf numFmtId="49" fontId="18" fillId="0" borderId="22" xfId="286" applyNumberFormat="1" applyFont="1" applyFill="1" applyBorder="1" applyAlignment="1">
      <alignment horizontal="center" vertical="center"/>
      <protection/>
    </xf>
    <xf numFmtId="49" fontId="7" fillId="0" borderId="20" xfId="286" applyNumberFormat="1" applyFont="1" applyFill="1" applyBorder="1" applyAlignment="1">
      <alignment horizontal="center" vertical="center" wrapText="1"/>
      <protection/>
    </xf>
    <xf numFmtId="49" fontId="7" fillId="0" borderId="26" xfId="286" applyNumberFormat="1" applyFont="1" applyBorder="1" applyAlignment="1">
      <alignment horizontal="center" vertical="center" wrapText="1"/>
      <protection/>
    </xf>
    <xf numFmtId="49" fontId="7" fillId="0" borderId="41" xfId="286" applyNumberFormat="1" applyFont="1" applyBorder="1" applyAlignment="1">
      <alignment horizontal="center" vertical="center" wrapText="1"/>
      <protection/>
    </xf>
    <xf numFmtId="49" fontId="7" fillId="0" borderId="25" xfId="286" applyNumberFormat="1" applyFont="1" applyBorder="1" applyAlignment="1">
      <alignment horizontal="center" vertical="center" wrapText="1"/>
      <protection/>
    </xf>
    <xf numFmtId="3" fontId="34" fillId="47" borderId="38" xfId="286" applyNumberFormat="1" applyFont="1" applyFill="1" applyBorder="1" applyAlignment="1" applyProtection="1">
      <alignment horizontal="center" vertical="center" wrapText="1"/>
      <protection/>
    </xf>
    <xf numFmtId="3" fontId="34" fillId="47" borderId="23" xfId="286" applyNumberFormat="1" applyFont="1" applyFill="1" applyBorder="1" applyAlignment="1" applyProtection="1">
      <alignment horizontal="center" vertical="center" wrapText="1"/>
      <protection/>
    </xf>
    <xf numFmtId="49" fontId="7" fillId="0" borderId="20" xfId="286" applyNumberFormat="1" applyFont="1" applyFill="1" applyBorder="1" applyAlignment="1" applyProtection="1">
      <alignment horizontal="center" vertical="center" wrapText="1"/>
      <protection/>
    </xf>
    <xf numFmtId="3" fontId="7" fillId="47" borderId="21" xfId="286" applyNumberFormat="1" applyFont="1" applyFill="1" applyBorder="1" applyAlignment="1" applyProtection="1">
      <alignment horizontal="center" vertical="center" wrapText="1"/>
      <protection/>
    </xf>
    <xf numFmtId="3" fontId="7" fillId="47" borderId="23" xfId="286" applyNumberFormat="1" applyFont="1" applyFill="1" applyBorder="1" applyAlignment="1" applyProtection="1">
      <alignment horizontal="center" vertical="center" wrapText="1"/>
      <protection/>
    </xf>
    <xf numFmtId="49" fontId="14" fillId="47" borderId="0" xfId="286" applyNumberFormat="1" applyFont="1" applyFill="1" applyAlignment="1">
      <alignment horizontal="center" vertical="center" wrapText="1"/>
      <protection/>
    </xf>
    <xf numFmtId="49" fontId="3" fillId="0" borderId="0" xfId="286" applyNumberFormat="1" applyFont="1" applyAlignment="1">
      <alignment horizontal="left"/>
      <protection/>
    </xf>
    <xf numFmtId="49" fontId="33" fillId="0" borderId="0" xfId="286" applyNumberFormat="1" applyFont="1" applyAlignment="1">
      <alignment horizontal="center"/>
      <protection/>
    </xf>
    <xf numFmtId="49" fontId="0" fillId="0" borderId="0" xfId="286" applyNumberFormat="1" applyFont="1" applyAlignment="1">
      <alignment horizontal="left"/>
      <protection/>
    </xf>
    <xf numFmtId="49" fontId="3" fillId="0" borderId="0" xfId="286" applyNumberFormat="1" applyFont="1" applyBorder="1" applyAlignment="1">
      <alignment horizontal="left" wrapText="1"/>
      <protection/>
    </xf>
    <xf numFmtId="49" fontId="0" fillId="0" borderId="0" xfId="286" applyNumberFormat="1" applyFont="1" applyBorder="1" applyAlignment="1">
      <alignment horizontal="left" wrapText="1"/>
      <protection/>
    </xf>
    <xf numFmtId="49" fontId="18" fillId="0" borderId="0" xfId="286" applyNumberFormat="1" applyFont="1" applyAlignment="1">
      <alignment horizontal="left"/>
      <protection/>
    </xf>
    <xf numFmtId="49" fontId="7" fillId="44" borderId="26" xfId="286" applyNumberFormat="1" applyFont="1" applyFill="1" applyBorder="1" applyAlignment="1">
      <alignment horizontal="center" vertical="center"/>
      <protection/>
    </xf>
    <xf numFmtId="49" fontId="7" fillId="44" borderId="25" xfId="286" applyNumberFormat="1" applyFont="1" applyFill="1" applyBorder="1" applyAlignment="1">
      <alignment horizontal="center" vertical="center"/>
      <protection/>
    </xf>
    <xf numFmtId="49" fontId="31" fillId="0" borderId="0" xfId="286" applyNumberFormat="1" applyFont="1" applyBorder="1" applyAlignment="1">
      <alignment horizontal="center" wrapText="1"/>
      <protection/>
    </xf>
    <xf numFmtId="49" fontId="7" fillId="0" borderId="26" xfId="286" applyNumberFormat="1" applyFont="1" applyFill="1" applyBorder="1" applyAlignment="1">
      <alignment horizontal="center" vertical="center" wrapText="1"/>
      <protection/>
    </xf>
    <xf numFmtId="49" fontId="27" fillId="0" borderId="25" xfId="286" applyNumberFormat="1" applyFont="1" applyFill="1" applyBorder="1" applyAlignment="1">
      <alignment horizontal="center" vertical="center" wrapText="1"/>
      <protection/>
    </xf>
    <xf numFmtId="0" fontId="25" fillId="0" borderId="0" xfId="286" applyFont="1" applyAlignment="1">
      <alignment horizontal="center"/>
      <protection/>
    </xf>
    <xf numFmtId="49" fontId="25" fillId="47" borderId="0" xfId="286" applyNumberFormat="1" applyFont="1" applyFill="1" applyAlignment="1">
      <alignment horizontal="center"/>
      <protection/>
    </xf>
    <xf numFmtId="49" fontId="7" fillId="0" borderId="25" xfId="286" applyNumberFormat="1" applyFont="1" applyFill="1" applyBorder="1" applyAlignment="1">
      <alignment horizontal="center" vertical="center" wrapText="1"/>
      <protection/>
    </xf>
    <xf numFmtId="0" fontId="55" fillId="3" borderId="26" xfId="286" applyNumberFormat="1" applyFont="1" applyFill="1" applyBorder="1" applyAlignment="1">
      <alignment horizontal="center" vertical="center" wrapText="1"/>
      <protection/>
    </xf>
    <xf numFmtId="0" fontId="55" fillId="3" borderId="25" xfId="286" applyNumberFormat="1" applyFont="1" applyFill="1" applyBorder="1" applyAlignment="1">
      <alignment horizontal="center" vertical="center" wrapText="1"/>
      <protection/>
    </xf>
    <xf numFmtId="0" fontId="56" fillId="3" borderId="26" xfId="286" applyNumberFormat="1" applyFont="1" applyFill="1" applyBorder="1" applyAlignment="1">
      <alignment horizontal="center" vertical="center" wrapText="1"/>
      <protection/>
    </xf>
    <xf numFmtId="0" fontId="56" fillId="3" borderId="25" xfId="286" applyNumberFormat="1" applyFont="1" applyFill="1" applyBorder="1" applyAlignment="1">
      <alignment horizontal="center" vertical="center" wrapText="1"/>
      <protection/>
    </xf>
    <xf numFmtId="0" fontId="16" fillId="0" borderId="20" xfId="286" applyNumberFormat="1" applyFont="1" applyBorder="1" applyAlignment="1">
      <alignment horizontal="center" vertical="center" wrapText="1"/>
      <protection/>
    </xf>
    <xf numFmtId="0" fontId="7" fillId="0" borderId="35" xfId="286" applyNumberFormat="1" applyFont="1" applyBorder="1" applyAlignment="1">
      <alignment horizontal="center" vertical="center" wrapText="1"/>
      <protection/>
    </xf>
    <xf numFmtId="0" fontId="7" fillId="0" borderId="36" xfId="286" applyNumberFormat="1" applyFont="1" applyBorder="1" applyAlignment="1">
      <alignment horizontal="center" vertical="center" wrapText="1"/>
      <protection/>
    </xf>
    <xf numFmtId="0" fontId="7" fillId="0" borderId="24" xfId="286" applyNumberFormat="1" applyFont="1" applyBorder="1" applyAlignment="1">
      <alignment horizontal="center" vertical="center" wrapText="1"/>
      <protection/>
    </xf>
    <xf numFmtId="0" fontId="7" fillId="0" borderId="40" xfId="286" applyNumberFormat="1" applyFont="1" applyBorder="1" applyAlignment="1">
      <alignment horizontal="center" vertical="center" wrapText="1"/>
      <protection/>
    </xf>
    <xf numFmtId="49" fontId="3" fillId="0" borderId="0" xfId="286" applyNumberFormat="1" applyFont="1" applyFill="1" applyAlignment="1">
      <alignment horizontal="left"/>
      <protection/>
    </xf>
    <xf numFmtId="49" fontId="6" fillId="0" borderId="20" xfId="286" applyNumberFormat="1" applyFont="1" applyFill="1" applyBorder="1" applyAlignment="1">
      <alignment horizontal="center" vertical="center" wrapText="1"/>
      <protection/>
    </xf>
    <xf numFmtId="49" fontId="6" fillId="0" borderId="26" xfId="286" applyNumberFormat="1" applyFont="1" applyFill="1" applyBorder="1" applyAlignment="1">
      <alignment horizontal="center" vertical="center" wrapText="1"/>
      <protection/>
    </xf>
    <xf numFmtId="49" fontId="6" fillId="0" borderId="41" xfId="286" applyNumberFormat="1" applyFont="1" applyFill="1" applyBorder="1" applyAlignment="1">
      <alignment horizontal="center" vertical="center" wrapText="1"/>
      <protection/>
    </xf>
    <xf numFmtId="49" fontId="6" fillId="0" borderId="25" xfId="286" applyNumberFormat="1" applyFont="1" applyFill="1" applyBorder="1" applyAlignment="1">
      <alignment horizontal="center" vertical="center" wrapText="1"/>
      <protection/>
    </xf>
    <xf numFmtId="49" fontId="18" fillId="0" borderId="0" xfId="286" applyNumberFormat="1" applyFont="1" applyFill="1" applyBorder="1" applyAlignment="1">
      <alignment horizontal="left"/>
      <protection/>
    </xf>
    <xf numFmtId="49" fontId="0" fillId="0" borderId="0" xfId="286" applyNumberFormat="1" applyFont="1" applyFill="1" applyAlignment="1">
      <alignment horizontal="justify" wrapText="1"/>
      <protection/>
    </xf>
    <xf numFmtId="49" fontId="3" fillId="0" borderId="0" xfId="286" applyNumberFormat="1" applyFont="1" applyFill="1" applyAlignment="1">
      <alignment horizontal="center" vertical="top" wrapText="1"/>
      <protection/>
    </xf>
    <xf numFmtId="49" fontId="7" fillId="44" borderId="26" xfId="286" applyNumberFormat="1" applyFont="1" applyFill="1" applyBorder="1" applyAlignment="1">
      <alignment horizontal="center"/>
      <protection/>
    </xf>
    <xf numFmtId="49" fontId="7" fillId="44" borderId="25" xfId="286" applyNumberFormat="1" applyFont="1" applyFill="1" applyBorder="1" applyAlignment="1">
      <alignment horizontal="center"/>
      <protection/>
    </xf>
    <xf numFmtId="49" fontId="21" fillId="0" borderId="26" xfId="286" applyNumberFormat="1" applyFont="1" applyFill="1" applyBorder="1" applyAlignment="1">
      <alignment horizontal="center" vertical="center" wrapText="1"/>
      <protection/>
    </xf>
    <xf numFmtId="49" fontId="21" fillId="0" borderId="25" xfId="286" applyNumberFormat="1" applyFont="1" applyFill="1" applyBorder="1" applyAlignment="1">
      <alignment horizontal="center" vertical="center" wrapText="1"/>
      <protection/>
    </xf>
    <xf numFmtId="0" fontId="6" fillId="0" borderId="35" xfId="286" applyNumberFormat="1" applyFont="1" applyFill="1" applyBorder="1" applyAlignment="1">
      <alignment horizontal="center" vertical="center" wrapText="1"/>
      <protection/>
    </xf>
    <xf numFmtId="0" fontId="6" fillId="0" borderId="36" xfId="286" applyNumberFormat="1" applyFont="1" applyFill="1" applyBorder="1" applyAlignment="1">
      <alignment horizontal="center" vertical="center" wrapText="1"/>
      <protection/>
    </xf>
    <xf numFmtId="0" fontId="6" fillId="0" borderId="24" xfId="286" applyNumberFormat="1" applyFont="1" applyFill="1" applyBorder="1" applyAlignment="1">
      <alignment horizontal="center" vertical="center" wrapText="1"/>
      <protection/>
    </xf>
    <xf numFmtId="0" fontId="6" fillId="0" borderId="40" xfId="286" applyNumberFormat="1" applyFont="1" applyFill="1" applyBorder="1" applyAlignment="1">
      <alignment horizontal="center" vertical="center" wrapText="1"/>
      <protection/>
    </xf>
    <xf numFmtId="0" fontId="6" fillId="0" borderId="27" xfId="286" applyNumberFormat="1" applyFont="1" applyFill="1" applyBorder="1" applyAlignment="1">
      <alignment horizontal="center" vertical="center" wrapText="1"/>
      <protection/>
    </xf>
    <xf numFmtId="0" fontId="6" fillId="0" borderId="37" xfId="286" applyNumberFormat="1" applyFont="1" applyFill="1" applyBorder="1" applyAlignment="1">
      <alignment horizontal="center" vertical="center" wrapText="1"/>
      <protection/>
    </xf>
    <xf numFmtId="49" fontId="6" fillId="0" borderId="38" xfId="286" applyNumberFormat="1" applyFont="1" applyFill="1" applyBorder="1" applyAlignment="1">
      <alignment horizontal="center" vertical="center" wrapText="1"/>
      <protection/>
    </xf>
    <xf numFmtId="49" fontId="6" fillId="0" borderId="23" xfId="286" applyNumberFormat="1" applyFont="1" applyFill="1" applyBorder="1" applyAlignment="1">
      <alignment horizontal="center" vertical="center" wrapText="1"/>
      <protection/>
    </xf>
    <xf numFmtId="49" fontId="68" fillId="3" borderId="26" xfId="286" applyNumberFormat="1" applyFont="1" applyFill="1" applyBorder="1" applyAlignment="1">
      <alignment horizontal="center" vertical="center" wrapText="1"/>
      <protection/>
    </xf>
    <xf numFmtId="49" fontId="68" fillId="3" borderId="25" xfId="286" applyNumberFormat="1" applyFont="1" applyFill="1" applyBorder="1" applyAlignment="1">
      <alignment horizontal="center" vertical="center" wrapText="1"/>
      <protection/>
    </xf>
    <xf numFmtId="49" fontId="67" fillId="3" borderId="26" xfId="286" applyNumberFormat="1" applyFont="1" applyFill="1" applyBorder="1" applyAlignment="1">
      <alignment horizontal="center" vertical="center" wrapText="1"/>
      <protection/>
    </xf>
    <xf numFmtId="49" fontId="67" fillId="3" borderId="25" xfId="286" applyNumberFormat="1" applyFont="1" applyFill="1" applyBorder="1" applyAlignment="1">
      <alignment horizontal="center" vertical="center" wrapText="1"/>
      <protection/>
    </xf>
    <xf numFmtId="49" fontId="3" fillId="0" borderId="20" xfId="286" applyNumberFormat="1" applyFont="1" applyFill="1" applyBorder="1" applyAlignment="1">
      <alignment horizontal="center"/>
      <protection/>
    </xf>
    <xf numFmtId="49" fontId="0" fillId="0" borderId="0" xfId="286" applyNumberFormat="1" applyFont="1" applyFill="1" applyBorder="1" applyAlignment="1">
      <alignment horizontal="left"/>
      <protection/>
    </xf>
    <xf numFmtId="49" fontId="3" fillId="0" borderId="0" xfId="286" applyNumberFormat="1" applyFont="1" applyFill="1" applyBorder="1" applyAlignment="1">
      <alignment horizontal="left"/>
      <protection/>
    </xf>
    <xf numFmtId="49" fontId="3" fillId="0" borderId="0" xfId="286" applyNumberFormat="1" applyFont="1" applyFill="1" applyBorder="1" applyAlignment="1">
      <alignment horizontal="left" wrapText="1"/>
      <protection/>
    </xf>
    <xf numFmtId="49" fontId="0" fillId="0" borderId="0" xfId="286" applyNumberFormat="1" applyFont="1" applyFill="1" applyBorder="1" applyAlignment="1">
      <alignment horizontal="left" wrapText="1"/>
      <protection/>
    </xf>
    <xf numFmtId="49" fontId="6" fillId="0" borderId="22" xfId="286" applyNumberFormat="1" applyFont="1" applyFill="1" applyBorder="1" applyAlignment="1">
      <alignment horizontal="center" vertical="center" wrapText="1"/>
      <protection/>
    </xf>
    <xf numFmtId="49" fontId="15" fillId="0" borderId="0" xfId="286" applyNumberFormat="1" applyFont="1" applyFill="1" applyBorder="1" applyAlignment="1">
      <alignment horizontal="center" vertical="center" wrapText="1"/>
      <protection/>
    </xf>
    <xf numFmtId="49" fontId="13" fillId="0" borderId="0" xfId="286" applyNumberFormat="1" applyFont="1" applyFill="1" applyAlignment="1">
      <alignment horizontal="left" wrapText="1"/>
      <protection/>
    </xf>
    <xf numFmtId="49" fontId="13" fillId="0" borderId="0" xfId="286" applyNumberFormat="1" applyFont="1" applyFill="1" applyAlignment="1">
      <alignment horizontal="center" wrapText="1"/>
      <protection/>
    </xf>
    <xf numFmtId="0" fontId="3" fillId="0" borderId="0" xfId="286" applyFont="1" applyAlignment="1">
      <alignment horizontal="center"/>
      <protection/>
    </xf>
    <xf numFmtId="49" fontId="3" fillId="47" borderId="0" xfId="286" applyNumberFormat="1" applyFont="1" applyFill="1" applyAlignment="1">
      <alignment horizontal="center"/>
      <protection/>
    </xf>
    <xf numFmtId="49" fontId="23" fillId="0" borderId="0" xfId="286" applyNumberFormat="1" applyFont="1" applyFill="1" applyBorder="1" applyAlignment="1">
      <alignment horizontal="center" wrapText="1"/>
      <protection/>
    </xf>
    <xf numFmtId="49" fontId="15" fillId="0" borderId="0" xfId="286" applyNumberFormat="1" applyFont="1" applyFill="1" applyBorder="1" applyAlignment="1">
      <alignment horizontal="center" wrapText="1"/>
      <protection/>
    </xf>
    <xf numFmtId="49" fontId="71" fillId="0" borderId="0" xfId="286" applyNumberFormat="1" applyFont="1" applyFill="1" applyAlignment="1">
      <alignment horizontal="center"/>
      <protection/>
    </xf>
    <xf numFmtId="49" fontId="18" fillId="0" borderId="0" xfId="286" applyNumberFormat="1" applyFont="1" applyFill="1" applyAlignment="1">
      <alignment horizontal="center"/>
      <protection/>
    </xf>
    <xf numFmtId="49" fontId="3" fillId="0" borderId="20" xfId="286" applyNumberFormat="1" applyFont="1" applyFill="1" applyBorder="1" applyAlignment="1">
      <alignment horizontal="center" vertical="center" wrapText="1"/>
      <protection/>
    </xf>
    <xf numFmtId="49" fontId="20" fillId="0" borderId="20" xfId="286" applyNumberFormat="1" applyFont="1" applyFill="1" applyBorder="1" applyAlignment="1">
      <alignment horizontal="center" vertical="center" wrapText="1"/>
      <protection/>
    </xf>
    <xf numFmtId="49" fontId="3" fillId="0" borderId="20" xfId="286" applyNumberFormat="1" applyFont="1" applyBorder="1" applyAlignment="1">
      <alignment horizontal="center"/>
      <protection/>
    </xf>
    <xf numFmtId="49" fontId="14" fillId="0" borderId="0" xfId="286" applyNumberFormat="1" applyFont="1" applyAlignment="1">
      <alignment horizontal="center" wrapText="1"/>
      <protection/>
    </xf>
    <xf numFmtId="49" fontId="18" fillId="0" borderId="22" xfId="286" applyNumberFormat="1" applyFont="1" applyBorder="1" applyAlignment="1">
      <alignment horizontal="left"/>
      <protection/>
    </xf>
    <xf numFmtId="49" fontId="18" fillId="0" borderId="0" xfId="286" applyNumberFormat="1" applyFont="1" applyAlignment="1">
      <alignment horizontal="center"/>
      <protection/>
    </xf>
    <xf numFmtId="49" fontId="18" fillId="0" borderId="0" xfId="286" applyNumberFormat="1" applyFont="1" applyBorder="1" applyAlignment="1">
      <alignment horizontal="left"/>
      <protection/>
    </xf>
    <xf numFmtId="49" fontId="0" fillId="0" borderId="0" xfId="286" applyNumberFormat="1" applyFont="1" applyAlignment="1">
      <alignment horizontal="left" wrapText="1"/>
      <protection/>
    </xf>
    <xf numFmtId="49" fontId="3" fillId="0" borderId="0" xfId="286" applyNumberFormat="1" applyFont="1" applyAlignment="1">
      <alignment horizontal="left" wrapText="1"/>
      <protection/>
    </xf>
    <xf numFmtId="49" fontId="0" fillId="0" borderId="0" xfId="286" applyNumberFormat="1" applyFont="1" applyAlignment="1">
      <alignment/>
      <protection/>
    </xf>
    <xf numFmtId="49" fontId="31" fillId="0" borderId="0" xfId="286" applyNumberFormat="1" applyFont="1" applyBorder="1" applyAlignment="1">
      <alignment horizontal="center"/>
      <protection/>
    </xf>
    <xf numFmtId="49" fontId="25" fillId="0" borderId="0" xfId="286" applyNumberFormat="1" applyFont="1" applyBorder="1" applyAlignment="1">
      <alignment horizontal="center"/>
      <protection/>
    </xf>
    <xf numFmtId="49" fontId="7" fillId="0" borderId="35" xfId="286" applyNumberFormat="1" applyFont="1" applyFill="1" applyBorder="1" applyAlignment="1">
      <alignment horizontal="center" vertical="center" wrapText="1"/>
      <protection/>
    </xf>
    <xf numFmtId="49" fontId="7" fillId="0" borderId="36" xfId="286" applyNumberFormat="1" applyFont="1" applyFill="1" applyBorder="1" applyAlignment="1">
      <alignment horizontal="center" vertical="center" wrapText="1"/>
      <protection/>
    </xf>
    <xf numFmtId="49" fontId="7" fillId="0" borderId="24" xfId="286" applyNumberFormat="1" applyFont="1" applyFill="1" applyBorder="1" applyAlignment="1">
      <alignment horizontal="center" vertical="center" wrapText="1"/>
      <protection/>
    </xf>
    <xf numFmtId="49" fontId="7" fillId="0" borderId="40" xfId="286" applyNumberFormat="1" applyFont="1" applyFill="1" applyBorder="1" applyAlignment="1">
      <alignment horizontal="center" vertical="center" wrapText="1"/>
      <protection/>
    </xf>
    <xf numFmtId="49" fontId="7" fillId="0" borderId="27" xfId="286" applyNumberFormat="1" applyFont="1" applyFill="1" applyBorder="1" applyAlignment="1">
      <alignment horizontal="center" vertical="center" wrapText="1"/>
      <protection/>
    </xf>
    <xf numFmtId="49" fontId="7" fillId="0" borderId="37" xfId="286" applyNumberFormat="1" applyFont="1" applyFill="1" applyBorder="1" applyAlignment="1">
      <alignment horizontal="center" vertical="center" wrapText="1"/>
      <protection/>
    </xf>
    <xf numFmtId="49" fontId="56" fillId="3" borderId="26" xfId="286" applyNumberFormat="1" applyFont="1" applyFill="1" applyBorder="1" applyAlignment="1">
      <alignment horizontal="center" wrapText="1"/>
      <protection/>
    </xf>
    <xf numFmtId="49" fontId="56" fillId="3" borderId="25" xfId="286" applyNumberFormat="1" applyFont="1" applyFill="1" applyBorder="1" applyAlignment="1">
      <alignment horizontal="center" wrapText="1"/>
      <protection/>
    </xf>
    <xf numFmtId="49" fontId="55" fillId="3" borderId="26" xfId="286" applyNumberFormat="1" applyFont="1" applyFill="1" applyBorder="1" applyAlignment="1">
      <alignment horizontal="center" wrapText="1"/>
      <protection/>
    </xf>
    <xf numFmtId="49" fontId="55" fillId="3" borderId="25" xfId="286" applyNumberFormat="1" applyFont="1" applyFill="1" applyBorder="1" applyAlignment="1">
      <alignment horizontal="center" wrapText="1"/>
      <protection/>
    </xf>
    <xf numFmtId="49" fontId="13" fillId="0" borderId="0" xfId="286" applyNumberFormat="1" applyFont="1" applyBorder="1" applyAlignment="1">
      <alignment wrapText="1"/>
      <protection/>
    </xf>
    <xf numFmtId="49" fontId="13" fillId="0" borderId="0" xfId="286" applyNumberFormat="1" applyFont="1" applyBorder="1" applyAlignment="1">
      <alignment horizontal="center" wrapText="1"/>
      <protection/>
    </xf>
    <xf numFmtId="49" fontId="7" fillId="44" borderId="26" xfId="286" applyNumberFormat="1" applyFont="1" applyFill="1" applyBorder="1" applyAlignment="1">
      <alignment horizontal="center" vertical="center" wrapText="1"/>
      <protection/>
    </xf>
    <xf numFmtId="49" fontId="7" fillId="44" borderId="25" xfId="286" applyNumberFormat="1" applyFont="1" applyFill="1" applyBorder="1" applyAlignment="1">
      <alignment horizontal="center" vertical="center" wrapText="1"/>
      <protection/>
    </xf>
    <xf numFmtId="49" fontId="16" fillId="0" borderId="26" xfId="286" applyNumberFormat="1" applyFont="1" applyBorder="1" applyAlignment="1">
      <alignment horizontal="center" wrapText="1"/>
      <protection/>
    </xf>
    <xf numFmtId="49" fontId="16" fillId="0" borderId="25" xfId="286" applyNumberFormat="1" applyFont="1" applyBorder="1" applyAlignment="1">
      <alignment horizontal="center" wrapText="1"/>
      <protection/>
    </xf>
    <xf numFmtId="49" fontId="28" fillId="0" borderId="0" xfId="286" applyNumberFormat="1" applyFont="1" applyBorder="1" applyAlignment="1">
      <alignment horizontal="center" wrapText="1"/>
      <protection/>
    </xf>
    <xf numFmtId="49" fontId="28" fillId="0" borderId="0" xfId="286" applyNumberFormat="1" applyFont="1" applyAlignment="1">
      <alignment horizontal="center"/>
      <protection/>
    </xf>
    <xf numFmtId="49" fontId="6" fillId="0" borderId="20" xfId="288" applyNumberFormat="1" applyFont="1" applyFill="1" applyBorder="1" applyAlignment="1">
      <alignment horizontal="center" vertical="center" wrapText="1"/>
      <protection/>
    </xf>
    <xf numFmtId="49" fontId="85" fillId="3" borderId="26" xfId="288" applyNumberFormat="1" applyFont="1" applyFill="1" applyBorder="1" applyAlignment="1">
      <alignment horizontal="center" vertical="center" wrapText="1"/>
      <protection/>
    </xf>
    <xf numFmtId="49" fontId="85" fillId="3" borderId="25" xfId="288" applyNumberFormat="1" applyFont="1" applyFill="1" applyBorder="1" applyAlignment="1">
      <alignment horizontal="center" vertical="center" wrapText="1"/>
      <protection/>
    </xf>
    <xf numFmtId="49" fontId="6" fillId="0" borderId="25" xfId="288" applyNumberFormat="1" applyFont="1" applyFill="1" applyBorder="1" applyAlignment="1">
      <alignment horizontal="center" vertical="center" wrapText="1"/>
      <protection/>
    </xf>
    <xf numFmtId="49" fontId="3" fillId="0" borderId="0" xfId="288" applyNumberFormat="1" applyFont="1" applyBorder="1" applyAlignment="1">
      <alignment horizontal="left"/>
      <protection/>
    </xf>
    <xf numFmtId="49" fontId="6" fillId="0" borderId="35" xfId="288" applyNumberFormat="1" applyFont="1" applyFill="1" applyBorder="1" applyAlignment="1">
      <alignment horizontal="center" vertical="center"/>
      <protection/>
    </xf>
    <xf numFmtId="49" fontId="6" fillId="0" borderId="36" xfId="288" applyNumberFormat="1" applyFont="1" applyFill="1" applyBorder="1" applyAlignment="1">
      <alignment horizontal="center" vertical="center"/>
      <protection/>
    </xf>
    <xf numFmtId="49" fontId="6" fillId="0" borderId="24" xfId="288" applyNumberFormat="1" applyFont="1" applyFill="1" applyBorder="1" applyAlignment="1">
      <alignment horizontal="center" vertical="center"/>
      <protection/>
    </xf>
    <xf numFmtId="49" fontId="6" fillId="0" borderId="40" xfId="288" applyNumberFormat="1" applyFont="1" applyFill="1" applyBorder="1" applyAlignment="1">
      <alignment horizontal="center" vertical="center"/>
      <protection/>
    </xf>
    <xf numFmtId="49" fontId="6" fillId="0" borderId="27" xfId="288" applyNumberFormat="1" applyFont="1" applyFill="1" applyBorder="1" applyAlignment="1">
      <alignment horizontal="center" vertical="center"/>
      <protection/>
    </xf>
    <xf numFmtId="49" fontId="6" fillId="0" borderId="37" xfId="288" applyNumberFormat="1" applyFont="1" applyFill="1" applyBorder="1" applyAlignment="1">
      <alignment horizontal="center" vertical="center"/>
      <protection/>
    </xf>
    <xf numFmtId="49" fontId="14" fillId="0" borderId="0" xfId="288" applyNumberFormat="1" applyFont="1" applyFill="1" applyAlignment="1">
      <alignment horizontal="center" wrapText="1"/>
      <protection/>
    </xf>
    <xf numFmtId="49" fontId="14" fillId="0" borderId="0" xfId="288" applyNumberFormat="1" applyFont="1" applyAlignment="1">
      <alignment horizontal="center"/>
      <protection/>
    </xf>
    <xf numFmtId="49" fontId="4" fillId="0" borderId="0" xfId="288" applyNumberFormat="1" applyFont="1" applyAlignment="1">
      <alignment horizontal="left"/>
      <protection/>
    </xf>
    <xf numFmtId="49" fontId="6" fillId="0" borderId="26" xfId="288" applyNumberFormat="1" applyFont="1" applyFill="1" applyBorder="1" applyAlignment="1">
      <alignment horizontal="center" vertical="center"/>
      <protection/>
    </xf>
    <xf numFmtId="49" fontId="6" fillId="0" borderId="41" xfId="288" applyNumberFormat="1" applyFont="1" applyFill="1" applyBorder="1" applyAlignment="1">
      <alignment horizontal="center" vertical="center"/>
      <protection/>
    </xf>
    <xf numFmtId="49" fontId="3" fillId="0" borderId="0" xfId="288" applyNumberFormat="1" applyFont="1" applyFill="1" applyAlignment="1">
      <alignment horizontal="left"/>
      <protection/>
    </xf>
    <xf numFmtId="49" fontId="33" fillId="0" borderId="0" xfId="288" applyNumberFormat="1" applyFont="1" applyAlignment="1">
      <alignment horizontal="center"/>
      <protection/>
    </xf>
    <xf numFmtId="49" fontId="18" fillId="0" borderId="0" xfId="288" applyNumberFormat="1" applyFont="1" applyBorder="1" applyAlignment="1">
      <alignment horizontal="left"/>
      <protection/>
    </xf>
    <xf numFmtId="49" fontId="6" fillId="0" borderId="26" xfId="288" applyNumberFormat="1" applyFont="1" applyFill="1" applyBorder="1" applyAlignment="1">
      <alignment horizontal="center" vertical="center" wrapText="1"/>
      <protection/>
    </xf>
    <xf numFmtId="49" fontId="86" fillId="3" borderId="26" xfId="288" applyNumberFormat="1" applyFont="1" applyFill="1" applyBorder="1" applyAlignment="1">
      <alignment horizontal="center" vertical="center" wrapText="1"/>
      <protection/>
    </xf>
    <xf numFmtId="49" fontId="86" fillId="3" borderId="25" xfId="288" applyNumberFormat="1" applyFont="1" applyFill="1" applyBorder="1" applyAlignment="1">
      <alignment horizontal="center" vertical="center" wrapText="1"/>
      <protection/>
    </xf>
    <xf numFmtId="49" fontId="28" fillId="0" borderId="0" xfId="288" applyNumberFormat="1" applyFont="1" applyAlignment="1">
      <alignment horizontal="center"/>
      <protection/>
    </xf>
    <xf numFmtId="0" fontId="25" fillId="47" borderId="0" xfId="288" applyFont="1" applyFill="1" applyBorder="1" applyAlignment="1">
      <alignment horizontal="center"/>
      <protection/>
    </xf>
    <xf numFmtId="49" fontId="31" fillId="0" borderId="0" xfId="288" applyNumberFormat="1" applyFont="1" applyAlignment="1">
      <alignment horizontal="center"/>
      <protection/>
    </xf>
    <xf numFmtId="49" fontId="25" fillId="0" borderId="0" xfId="288" applyNumberFormat="1" applyFont="1" applyBorder="1" applyAlignment="1">
      <alignment horizontal="center" wrapText="1"/>
      <protection/>
    </xf>
    <xf numFmtId="49" fontId="6" fillId="0" borderId="26" xfId="288" applyNumberFormat="1" applyFont="1" applyBorder="1" applyAlignment="1">
      <alignment horizontal="center" vertical="center" wrapText="1"/>
      <protection/>
    </xf>
    <xf numFmtId="49" fontId="6" fillId="0" borderId="25" xfId="288" applyNumberFormat="1" applyFont="1" applyBorder="1" applyAlignment="1">
      <alignment horizontal="center" vertical="center" wrapText="1"/>
      <protection/>
    </xf>
    <xf numFmtId="49" fontId="25" fillId="0" borderId="0" xfId="288" applyNumberFormat="1" applyFont="1" applyBorder="1" applyAlignment="1">
      <alignment horizontal="center"/>
      <protection/>
    </xf>
    <xf numFmtId="49" fontId="76" fillId="4" borderId="21" xfId="288" applyNumberFormat="1" applyFont="1" applyFill="1" applyBorder="1" applyAlignment="1">
      <alignment horizontal="center" vertical="center" wrapText="1"/>
      <protection/>
    </xf>
    <xf numFmtId="49" fontId="76" fillId="4" borderId="38" xfId="288" applyNumberFormat="1" applyFont="1" applyFill="1" applyBorder="1" applyAlignment="1">
      <alignment horizontal="center" vertical="center" wrapText="1"/>
      <protection/>
    </xf>
    <xf numFmtId="49" fontId="76" fillId="4" borderId="23" xfId="288" applyNumberFormat="1" applyFont="1" applyFill="1" applyBorder="1" applyAlignment="1">
      <alignment horizontal="center" vertical="center" wrapText="1"/>
      <protection/>
    </xf>
    <xf numFmtId="49" fontId="0" fillId="0" borderId="0" xfId="288" applyNumberFormat="1" applyFont="1" applyAlignment="1">
      <alignment horizontal="left"/>
      <protection/>
    </xf>
    <xf numFmtId="49" fontId="84" fillId="0" borderId="26" xfId="288" applyNumberFormat="1" applyFont="1" applyBorder="1" applyAlignment="1">
      <alignment horizontal="center" vertical="center" wrapText="1"/>
      <protection/>
    </xf>
    <xf numFmtId="49" fontId="84" fillId="0" borderId="25" xfId="288" applyNumberFormat="1" applyFont="1" applyBorder="1" applyAlignment="1">
      <alignment horizontal="center" vertical="center" wrapText="1"/>
      <protection/>
    </xf>
    <xf numFmtId="49" fontId="31" fillId="0" borderId="0" xfId="288" applyNumberFormat="1" applyFont="1" applyBorder="1" applyAlignment="1">
      <alignment horizontal="center" wrapText="1"/>
      <protection/>
    </xf>
    <xf numFmtId="49" fontId="6" fillId="0" borderId="21" xfId="288" applyNumberFormat="1" applyFont="1" applyFill="1" applyBorder="1" applyAlignment="1">
      <alignment horizontal="center" vertical="center" wrapText="1"/>
      <protection/>
    </xf>
    <xf numFmtId="49" fontId="6" fillId="0" borderId="38" xfId="288" applyNumberFormat="1" applyFont="1" applyFill="1" applyBorder="1" applyAlignment="1">
      <alignment horizontal="center" vertical="center" wrapText="1"/>
      <protection/>
    </xf>
    <xf numFmtId="49" fontId="6" fillId="0" borderId="23" xfId="288" applyNumberFormat="1" applyFont="1" applyFill="1" applyBorder="1" applyAlignment="1">
      <alignment horizontal="center" vertical="center" wrapText="1"/>
      <protection/>
    </xf>
    <xf numFmtId="49" fontId="13" fillId="0" borderId="0" xfId="288" applyNumberFormat="1" applyFont="1" applyAlignment="1">
      <alignment horizontal="center"/>
      <protection/>
    </xf>
    <xf numFmtId="49" fontId="31" fillId="0" borderId="0" xfId="288" applyNumberFormat="1" applyFont="1" applyBorder="1" applyAlignment="1">
      <alignment horizontal="center"/>
      <protection/>
    </xf>
    <xf numFmtId="0" fontId="12" fillId="0" borderId="20" xfId="288" applyFont="1" applyBorder="1" applyAlignment="1">
      <alignment horizontal="center" vertical="center" wrapText="1"/>
      <protection/>
    </xf>
    <xf numFmtId="0" fontId="6" fillId="0" borderId="20" xfId="288" applyFont="1" applyBorder="1" applyAlignment="1">
      <alignment horizontal="center" vertical="center" wrapText="1"/>
      <protection/>
    </xf>
    <xf numFmtId="3" fontId="0" fillId="47" borderId="0" xfId="288" applyNumberFormat="1" applyFont="1" applyFill="1" applyBorder="1" applyAlignment="1">
      <alignment horizontal="left"/>
      <protection/>
    </xf>
    <xf numFmtId="0" fontId="3" fillId="0" borderId="0" xfId="288" applyFont="1" applyBorder="1" applyAlignment="1">
      <alignment horizontal="left"/>
      <protection/>
    </xf>
    <xf numFmtId="0" fontId="0" fillId="0" borderId="0" xfId="288" applyFont="1" applyBorder="1" applyAlignment="1">
      <alignment horizontal="left"/>
      <protection/>
    </xf>
    <xf numFmtId="0" fontId="6" fillId="0" borderId="20" xfId="288" applyFont="1" applyFill="1" applyBorder="1" applyAlignment="1">
      <alignment horizontal="center" vertical="center" wrapText="1"/>
      <protection/>
    </xf>
    <xf numFmtId="0" fontId="88" fillId="0" borderId="0" xfId="288" applyFont="1" applyAlignment="1">
      <alignment horizontal="center"/>
      <protection/>
    </xf>
    <xf numFmtId="0" fontId="3" fillId="0" borderId="0" xfId="288" applyNumberFormat="1" applyFont="1" applyAlignment="1">
      <alignment horizontal="left"/>
      <protection/>
    </xf>
    <xf numFmtId="0" fontId="0" fillId="0" borderId="0" xfId="288" applyFont="1" applyAlignment="1">
      <alignment horizontal="left"/>
      <protection/>
    </xf>
    <xf numFmtId="0" fontId="0" fillId="0" borderId="0" xfId="288" applyFont="1" applyBorder="1" applyAlignment="1">
      <alignment/>
      <protection/>
    </xf>
    <xf numFmtId="0" fontId="14" fillId="0" borderId="0" xfId="288" applyFont="1" applyAlignment="1">
      <alignment horizontal="center" wrapText="1"/>
      <protection/>
    </xf>
    <xf numFmtId="0" fontId="13" fillId="0" borderId="0" xfId="288" applyFont="1" applyBorder="1" applyAlignment="1">
      <alignment horizontal="center"/>
      <protection/>
    </xf>
    <xf numFmtId="0" fontId="14" fillId="0" borderId="0" xfId="288" applyFont="1" applyAlignment="1">
      <alignment horizontal="center"/>
      <protection/>
    </xf>
    <xf numFmtId="0" fontId="33" fillId="0" borderId="0" xfId="288" applyFont="1" applyAlignment="1">
      <alignment horizontal="center"/>
      <protection/>
    </xf>
    <xf numFmtId="0" fontId="68" fillId="3" borderId="26" xfId="288" applyFont="1" applyFill="1" applyBorder="1" applyAlignment="1">
      <alignment horizontal="center" vertical="center" wrapText="1"/>
      <protection/>
    </xf>
    <xf numFmtId="0" fontId="68" fillId="3" borderId="25" xfId="288" applyFont="1" applyFill="1" applyBorder="1" applyAlignment="1">
      <alignment horizontal="center" vertical="center" wrapText="1"/>
      <protection/>
    </xf>
    <xf numFmtId="0" fontId="6" fillId="0" borderId="25" xfId="288" applyFont="1" applyBorder="1" applyAlignment="1">
      <alignment horizontal="center" vertical="center" wrapText="1"/>
      <protection/>
    </xf>
    <xf numFmtId="0" fontId="6" fillId="0" borderId="20" xfId="288" applyFont="1" applyBorder="1" applyAlignment="1">
      <alignment horizontal="center" vertical="center"/>
      <protection/>
    </xf>
    <xf numFmtId="0" fontId="31" fillId="0" borderId="0" xfId="288" applyNumberFormat="1" applyFont="1" applyBorder="1" applyAlignment="1">
      <alignment horizontal="center"/>
      <protection/>
    </xf>
    <xf numFmtId="0" fontId="31" fillId="0" borderId="0" xfId="288" applyFont="1" applyBorder="1" applyAlignment="1">
      <alignment horizontal="center" wrapText="1"/>
      <protection/>
    </xf>
    <xf numFmtId="0" fontId="25" fillId="0" borderId="0" xfId="288" applyFont="1" applyBorder="1" applyAlignment="1">
      <alignment horizontal="center" wrapText="1"/>
      <protection/>
    </xf>
    <xf numFmtId="0" fontId="25" fillId="0" borderId="0" xfId="288" applyNumberFormat="1" applyFont="1" applyBorder="1" applyAlignment="1">
      <alignment horizontal="center"/>
      <protection/>
    </xf>
    <xf numFmtId="0" fontId="6" fillId="0" borderId="26" xfId="288" applyFont="1" applyBorder="1" applyAlignment="1">
      <alignment horizontal="center" vertical="center" wrapText="1"/>
      <protection/>
    </xf>
    <xf numFmtId="0" fontId="13" fillId="0" borderId="22" xfId="288" applyFont="1" applyBorder="1" applyAlignment="1">
      <alignment horizontal="left"/>
      <protection/>
    </xf>
    <xf numFmtId="0" fontId="6" fillId="0" borderId="26" xfId="288" applyFont="1" applyBorder="1" applyAlignment="1">
      <alignment horizontal="center" vertical="center"/>
      <protection/>
    </xf>
    <xf numFmtId="0" fontId="6" fillId="0" borderId="41" xfId="288" applyFont="1" applyBorder="1" applyAlignment="1">
      <alignment horizontal="center" vertical="center"/>
      <protection/>
    </xf>
    <xf numFmtId="0" fontId="6" fillId="0" borderId="25" xfId="288" applyFont="1" applyBorder="1" applyAlignment="1">
      <alignment horizontal="center" vertical="center"/>
      <protection/>
    </xf>
    <xf numFmtId="0" fontId="67" fillId="3" borderId="26" xfId="288" applyFont="1" applyFill="1" applyBorder="1" applyAlignment="1">
      <alignment horizontal="center" vertical="center" wrapText="1"/>
      <protection/>
    </xf>
    <xf numFmtId="0" fontId="67" fillId="3" borderId="25" xfId="288" applyFont="1" applyFill="1" applyBorder="1" applyAlignment="1">
      <alignment horizontal="center" vertical="center" wrapText="1"/>
      <protection/>
    </xf>
    <xf numFmtId="0" fontId="6" fillId="0" borderId="35" xfId="288" applyFont="1" applyBorder="1" applyAlignment="1">
      <alignment horizontal="center" vertical="center" wrapText="1"/>
      <protection/>
    </xf>
    <xf numFmtId="0" fontId="6" fillId="0" borderId="19" xfId="288" applyFont="1" applyBorder="1" applyAlignment="1">
      <alignment horizontal="center" vertical="center" wrapText="1"/>
      <protection/>
    </xf>
    <xf numFmtId="0" fontId="6" fillId="0" borderId="36" xfId="288" applyFont="1" applyBorder="1" applyAlignment="1">
      <alignment horizontal="center" vertical="center" wrapText="1"/>
      <protection/>
    </xf>
    <xf numFmtId="0" fontId="6" fillId="0" borderId="24" xfId="288" applyFont="1" applyBorder="1" applyAlignment="1">
      <alignment horizontal="center" vertical="center" wrapText="1"/>
      <protection/>
    </xf>
    <xf numFmtId="0" fontId="6" fillId="0" borderId="0" xfId="288" applyFont="1" applyBorder="1" applyAlignment="1">
      <alignment horizontal="center" vertical="center" wrapText="1"/>
      <protection/>
    </xf>
    <xf numFmtId="0" fontId="6" fillId="0" borderId="40" xfId="288" applyFont="1" applyBorder="1" applyAlignment="1">
      <alignment horizontal="center" vertical="center" wrapText="1"/>
      <protection/>
    </xf>
    <xf numFmtId="0" fontId="6" fillId="0" borderId="21" xfId="288" applyFont="1" applyBorder="1" applyAlignment="1">
      <alignment horizontal="center" vertical="center" wrapText="1"/>
      <protection/>
    </xf>
    <xf numFmtId="0" fontId="6" fillId="0" borderId="38" xfId="288" applyFont="1" applyBorder="1" applyAlignment="1">
      <alignment horizontal="center" vertical="center" wrapText="1"/>
      <protection/>
    </xf>
    <xf numFmtId="0" fontId="6" fillId="0" borderId="23" xfId="288" applyFont="1" applyBorder="1" applyAlignment="1">
      <alignment horizontal="center" vertical="center" wrapText="1"/>
      <protection/>
    </xf>
    <xf numFmtId="0" fontId="21" fillId="0" borderId="26" xfId="288" applyFont="1" applyBorder="1" applyAlignment="1">
      <alignment horizontal="center" vertical="center" wrapText="1"/>
      <protection/>
    </xf>
    <xf numFmtId="0" fontId="21" fillId="0" borderId="25" xfId="288" applyFont="1" applyBorder="1" applyAlignment="1">
      <alignment horizontal="center" vertical="center" wrapText="1"/>
      <protection/>
    </xf>
    <xf numFmtId="49" fontId="6" fillId="0" borderId="19" xfId="288" applyNumberFormat="1" applyFont="1" applyFill="1" applyBorder="1" applyAlignment="1">
      <alignment horizontal="center" vertical="center"/>
      <protection/>
    </xf>
    <xf numFmtId="49" fontId="6" fillId="0" borderId="0" xfId="288" applyNumberFormat="1" applyFont="1" applyFill="1" applyBorder="1" applyAlignment="1">
      <alignment horizontal="center" vertical="center"/>
      <protection/>
    </xf>
    <xf numFmtId="49" fontId="6" fillId="0" borderId="22" xfId="288" applyNumberFormat="1" applyFont="1" applyFill="1" applyBorder="1" applyAlignment="1">
      <alignment horizontal="center" vertical="center"/>
      <protection/>
    </xf>
    <xf numFmtId="49" fontId="79" fillId="0" borderId="0" xfId="288" applyNumberFormat="1" applyFont="1" applyAlignment="1">
      <alignment horizontal="center"/>
      <protection/>
    </xf>
    <xf numFmtId="49" fontId="6" fillId="0" borderId="20" xfId="288" applyNumberFormat="1" applyFont="1" applyFill="1" applyBorder="1" applyAlignment="1">
      <alignment horizontal="center" vertical="center"/>
      <protection/>
    </xf>
    <xf numFmtId="49" fontId="77" fillId="3" borderId="26" xfId="288" applyNumberFormat="1" applyFont="1" applyFill="1" applyBorder="1" applyAlignment="1">
      <alignment horizontal="center" vertical="center" wrapText="1"/>
      <protection/>
    </xf>
    <xf numFmtId="49" fontId="77" fillId="3" borderId="25" xfId="288" applyNumberFormat="1" applyFont="1" applyFill="1" applyBorder="1" applyAlignment="1">
      <alignment horizontal="center" vertical="center" wrapText="1"/>
      <protection/>
    </xf>
    <xf numFmtId="49" fontId="75" fillId="3" borderId="26" xfId="288" applyNumberFormat="1" applyFont="1" applyFill="1" applyBorder="1" applyAlignment="1">
      <alignment horizontal="center" vertical="center" wrapText="1"/>
      <protection/>
    </xf>
    <xf numFmtId="49" fontId="75" fillId="3" borderId="25" xfId="288" applyNumberFormat="1" applyFont="1" applyFill="1" applyBorder="1" applyAlignment="1">
      <alignment horizontal="center" vertical="center" wrapText="1"/>
      <protection/>
    </xf>
    <xf numFmtId="49" fontId="3" fillId="0" borderId="0" xfId="288" applyNumberFormat="1" applyFont="1" applyAlignment="1">
      <alignment horizontal="left"/>
      <protection/>
    </xf>
    <xf numFmtId="49" fontId="5" fillId="0" borderId="0" xfId="288" applyNumberFormat="1" applyFont="1" applyBorder="1" applyAlignment="1">
      <alignment horizontal="left" wrapText="1"/>
      <protection/>
    </xf>
    <xf numFmtId="49" fontId="5" fillId="0" borderId="0" xfId="288" applyNumberFormat="1" applyFont="1" applyBorder="1" applyAlignment="1">
      <alignment horizontal="left"/>
      <protection/>
    </xf>
    <xf numFmtId="49" fontId="14" fillId="0" borderId="0" xfId="288" applyNumberFormat="1" applyFont="1" applyAlignment="1">
      <alignment horizontal="center" wrapText="1"/>
      <protection/>
    </xf>
    <xf numFmtId="49" fontId="0" fillId="47" borderId="0" xfId="288" applyNumberFormat="1" applyFont="1" applyFill="1" applyBorder="1" applyAlignment="1">
      <alignment horizontal="left" vertical="top" wrapText="1"/>
      <protection/>
    </xf>
    <xf numFmtId="49" fontId="3" fillId="47" borderId="0" xfId="288" applyNumberFormat="1" applyFont="1" applyFill="1" applyBorder="1" applyAlignment="1">
      <alignment horizontal="left" vertical="top" wrapText="1"/>
      <protection/>
    </xf>
    <xf numFmtId="49" fontId="0" fillId="0" borderId="0" xfId="288" applyNumberFormat="1" applyFont="1" applyAlignment="1">
      <alignment horizontal="justify" vertical="top"/>
      <protection/>
    </xf>
    <xf numFmtId="49" fontId="0" fillId="0" borderId="0" xfId="288" applyNumberFormat="1" applyFont="1" applyBorder="1" applyAlignment="1">
      <alignment horizontal="justify" vertical="top" wrapText="1"/>
      <protection/>
    </xf>
    <xf numFmtId="49" fontId="0" fillId="0" borderId="0" xfId="288" applyNumberFormat="1" applyFont="1" applyBorder="1" applyAlignment="1">
      <alignment horizontal="justify" vertical="top"/>
      <protection/>
    </xf>
    <xf numFmtId="49" fontId="18" fillId="0" borderId="0" xfId="288" applyNumberFormat="1" applyFont="1" applyAlignment="1">
      <alignment horizontal="center" wrapText="1"/>
      <protection/>
    </xf>
    <xf numFmtId="49" fontId="19" fillId="0" borderId="22" xfId="288" applyNumberFormat="1" applyFont="1" applyBorder="1" applyAlignment="1">
      <alignment horizontal="center"/>
      <protection/>
    </xf>
    <xf numFmtId="49" fontId="74" fillId="0" borderId="20" xfId="288" applyNumberFormat="1" applyFont="1" applyBorder="1" applyAlignment="1">
      <alignment horizontal="center" vertical="center" wrapText="1"/>
      <protection/>
    </xf>
    <xf numFmtId="49" fontId="12" fillId="0" borderId="20" xfId="288" applyNumberFormat="1" applyFont="1" applyBorder="1" applyAlignment="1">
      <alignment horizontal="center" vertical="center" wrapText="1"/>
      <protection/>
    </xf>
    <xf numFmtId="49" fontId="7" fillId="0" borderId="0" xfId="288" applyNumberFormat="1" applyFont="1" applyAlignment="1">
      <alignment horizontal="left"/>
      <protection/>
    </xf>
    <xf numFmtId="49" fontId="13" fillId="0" borderId="0" xfId="288" applyNumberFormat="1" applyFont="1" applyBorder="1" applyAlignment="1">
      <alignment horizontal="left"/>
      <protection/>
    </xf>
    <xf numFmtId="49" fontId="7" fillId="0" borderId="26" xfId="288" applyNumberFormat="1" applyFont="1" applyBorder="1" applyAlignment="1">
      <alignment horizontal="center" vertical="center" wrapText="1"/>
      <protection/>
    </xf>
    <xf numFmtId="49" fontId="7" fillId="0" borderId="25" xfId="288" applyNumberFormat="1" applyFont="1" applyBorder="1" applyAlignment="1">
      <alignment horizontal="center" vertical="center" wrapText="1"/>
      <protection/>
    </xf>
    <xf numFmtId="49" fontId="4" fillId="0" borderId="0" xfId="288" applyNumberFormat="1" applyFont="1" applyAlignment="1">
      <alignment/>
      <protection/>
    </xf>
    <xf numFmtId="49" fontId="0" fillId="0" borderId="0" xfId="288" applyNumberFormat="1" applyFont="1" applyBorder="1" applyAlignment="1">
      <alignment horizontal="left"/>
      <protection/>
    </xf>
    <xf numFmtId="49" fontId="19" fillId="0" borderId="26" xfId="288" applyNumberFormat="1" applyFont="1" applyBorder="1" applyAlignment="1">
      <alignment horizontal="center" vertical="center" wrapText="1"/>
      <protection/>
    </xf>
    <xf numFmtId="49" fontId="19" fillId="0" borderId="25" xfId="288" applyNumberFormat="1" applyFont="1" applyBorder="1" applyAlignment="1">
      <alignment horizontal="center" vertical="center" wrapText="1"/>
      <protection/>
    </xf>
    <xf numFmtId="49" fontId="90" fillId="3" borderId="26" xfId="288" applyNumberFormat="1" applyFont="1" applyFill="1" applyBorder="1" applyAlignment="1">
      <alignment horizontal="center" vertical="center" wrapText="1"/>
      <protection/>
    </xf>
    <xf numFmtId="49" fontId="90" fillId="3" borderId="25" xfId="288" applyNumberFormat="1" applyFont="1" applyFill="1" applyBorder="1" applyAlignment="1">
      <alignment horizontal="center" vertical="center" wrapText="1"/>
      <protection/>
    </xf>
    <xf numFmtId="49" fontId="89" fillId="3" borderId="26" xfId="288" applyNumberFormat="1" applyFont="1" applyFill="1" applyBorder="1" applyAlignment="1">
      <alignment horizontal="center" vertical="center" wrapText="1"/>
      <protection/>
    </xf>
    <xf numFmtId="49" fontId="89" fillId="3" borderId="25" xfId="288" applyNumberFormat="1" applyFont="1" applyFill="1" applyBorder="1" applyAlignment="1">
      <alignment horizontal="center" vertical="center" wrapText="1"/>
      <protection/>
    </xf>
    <xf numFmtId="49" fontId="6" fillId="0" borderId="21" xfId="288" applyNumberFormat="1" applyFont="1" applyBorder="1" applyAlignment="1">
      <alignment horizontal="center" vertical="center" wrapText="1"/>
      <protection/>
    </xf>
    <xf numFmtId="49" fontId="6" fillId="0" borderId="23" xfId="288" applyNumberFormat="1" applyFont="1" applyBorder="1" applyAlignment="1">
      <alignment horizontal="center" vertical="center" wrapText="1"/>
      <protection/>
    </xf>
    <xf numFmtId="49" fontId="6" fillId="0" borderId="38" xfId="288" applyNumberFormat="1" applyFont="1" applyBorder="1" applyAlignment="1">
      <alignment horizontal="center" vertical="center" wrapText="1"/>
      <protection/>
    </xf>
    <xf numFmtId="49" fontId="6" fillId="0" borderId="41" xfId="288" applyNumberFormat="1" applyFont="1" applyBorder="1" applyAlignment="1">
      <alignment horizontal="center" vertical="center" wrapText="1"/>
      <protection/>
    </xf>
    <xf numFmtId="49" fontId="19" fillId="0" borderId="0" xfId="288" applyNumberFormat="1" applyFont="1" applyAlignment="1">
      <alignment horizontal="center"/>
      <protection/>
    </xf>
    <xf numFmtId="49" fontId="18" fillId="0" borderId="22" xfId="288" applyNumberFormat="1" applyFont="1" applyBorder="1" applyAlignment="1">
      <alignment horizontal="left"/>
      <protection/>
    </xf>
    <xf numFmtId="49" fontId="31" fillId="0" borderId="0" xfId="288" applyNumberFormat="1" applyFont="1" applyBorder="1" applyAlignment="1">
      <alignment horizontal="left" wrapText="1"/>
      <protection/>
    </xf>
    <xf numFmtId="49" fontId="28" fillId="0" borderId="0" xfId="288" applyNumberFormat="1" applyFont="1" applyAlignment="1">
      <alignment horizontal="center"/>
      <protection/>
    </xf>
    <xf numFmtId="49" fontId="6" fillId="0" borderId="35" xfId="288" applyNumberFormat="1" applyFont="1" applyFill="1" applyBorder="1" applyAlignment="1">
      <alignment horizontal="center" vertical="center" wrapText="1"/>
      <protection/>
    </xf>
    <xf numFmtId="49" fontId="6" fillId="0" borderId="36" xfId="288" applyNumberFormat="1" applyFont="1" applyFill="1" applyBorder="1" applyAlignment="1">
      <alignment horizontal="center" vertical="center" wrapText="1"/>
      <protection/>
    </xf>
    <xf numFmtId="49" fontId="6" fillId="0" borderId="24" xfId="288" applyNumberFormat="1" applyFont="1" applyFill="1" applyBorder="1" applyAlignment="1">
      <alignment horizontal="center" vertical="center" wrapText="1"/>
      <protection/>
    </xf>
    <xf numFmtId="49" fontId="6" fillId="0" borderId="40" xfId="288" applyNumberFormat="1" applyFont="1" applyFill="1" applyBorder="1" applyAlignment="1">
      <alignment horizontal="center" vertical="center" wrapText="1"/>
      <protection/>
    </xf>
    <xf numFmtId="49" fontId="6" fillId="0" borderId="27" xfId="288" applyNumberFormat="1" applyFont="1" applyFill="1" applyBorder="1" applyAlignment="1">
      <alignment horizontal="center" vertical="center" wrapText="1"/>
      <protection/>
    </xf>
    <xf numFmtId="49" fontId="6" fillId="0" borderId="37" xfId="288" applyNumberFormat="1" applyFont="1" applyFill="1" applyBorder="1" applyAlignment="1">
      <alignment horizontal="center" vertical="center" wrapText="1"/>
      <protection/>
    </xf>
    <xf numFmtId="49" fontId="6" fillId="0" borderId="41" xfId="288" applyNumberFormat="1" applyFont="1" applyFill="1" applyBorder="1" applyAlignment="1">
      <alignment horizontal="center" vertical="center" wrapText="1"/>
      <protection/>
    </xf>
    <xf numFmtId="49" fontId="19" fillId="0" borderId="26" xfId="288" applyNumberFormat="1" applyFont="1" applyFill="1" applyBorder="1" applyAlignment="1">
      <alignment horizontal="center" vertical="center"/>
      <protection/>
    </xf>
    <xf numFmtId="49" fontId="19" fillId="0" borderId="25" xfId="288" applyNumberFormat="1" applyFont="1" applyFill="1" applyBorder="1" applyAlignment="1">
      <alignment horizontal="center" vertical="center"/>
      <protection/>
    </xf>
    <xf numFmtId="49" fontId="89" fillId="3" borderId="26" xfId="288" applyNumberFormat="1" applyFont="1" applyFill="1" applyBorder="1" applyAlignment="1">
      <alignment horizontal="center" vertical="center"/>
      <protection/>
    </xf>
    <xf numFmtId="49" fontId="89" fillId="3" borderId="25" xfId="288" applyNumberFormat="1" applyFont="1" applyFill="1" applyBorder="1" applyAlignment="1">
      <alignment horizontal="center" vertical="center"/>
      <protection/>
    </xf>
    <xf numFmtId="49" fontId="6" fillId="47" borderId="26" xfId="288" applyNumberFormat="1" applyFont="1" applyFill="1" applyBorder="1" applyAlignment="1">
      <alignment horizontal="center" vertical="center"/>
      <protection/>
    </xf>
    <xf numFmtId="49" fontId="6" fillId="47" borderId="25" xfId="288" applyNumberFormat="1" applyFont="1" applyFill="1" applyBorder="1" applyAlignment="1">
      <alignment horizontal="center" vertical="center"/>
      <protection/>
    </xf>
    <xf numFmtId="49" fontId="90" fillId="3" borderId="26" xfId="288" applyNumberFormat="1" applyFont="1" applyFill="1" applyBorder="1" applyAlignment="1">
      <alignment horizontal="center" vertical="center"/>
      <protection/>
    </xf>
    <xf numFmtId="49" fontId="90" fillId="3" borderId="25" xfId="288" applyNumberFormat="1" applyFont="1" applyFill="1" applyBorder="1" applyAlignment="1">
      <alignment horizontal="center" vertical="center"/>
      <protection/>
    </xf>
    <xf numFmtId="49" fontId="18" fillId="0" borderId="0" xfId="288" applyNumberFormat="1" applyFont="1" applyFill="1" applyBorder="1" applyAlignment="1">
      <alignment horizontal="left"/>
      <protection/>
    </xf>
    <xf numFmtId="49" fontId="0" fillId="0" borderId="0" xfId="288" applyNumberFormat="1" applyFont="1" applyFill="1" applyAlignment="1">
      <alignment horizontal="left"/>
      <protection/>
    </xf>
    <xf numFmtId="49" fontId="13" fillId="0" borderId="22" xfId="288" applyNumberFormat="1" applyFont="1" applyFill="1" applyBorder="1" applyAlignment="1">
      <alignment horizontal="center" vertical="center"/>
      <protection/>
    </xf>
    <xf numFmtId="0" fontId="82" fillId="0" borderId="41" xfId="288" applyFont="1" applyFill="1" applyBorder="1" applyAlignment="1">
      <alignment horizontal="center" vertical="center" wrapText="1"/>
      <protection/>
    </xf>
    <xf numFmtId="0" fontId="82" fillId="0" borderId="25" xfId="288" applyFont="1" applyFill="1" applyBorder="1" applyAlignment="1">
      <alignment horizontal="center" vertical="center" wrapText="1"/>
      <protection/>
    </xf>
    <xf numFmtId="0" fontId="14" fillId="0" borderId="0" xfId="288" applyNumberFormat="1" applyFont="1" applyAlignment="1">
      <alignment horizontal="center"/>
      <protection/>
    </xf>
    <xf numFmtId="0" fontId="33" fillId="0" borderId="0" xfId="288" applyNumberFormat="1" applyFont="1" applyAlignment="1">
      <alignment horizontal="center"/>
      <protection/>
    </xf>
    <xf numFmtId="0" fontId="23" fillId="0" borderId="0" xfId="288" applyNumberFormat="1" applyFont="1" applyAlignment="1">
      <alignment horizontal="center"/>
      <protection/>
    </xf>
    <xf numFmtId="0" fontId="7" fillId="0" borderId="20" xfId="288" applyFont="1" applyFill="1" applyBorder="1" applyAlignment="1">
      <alignment horizontal="center" vertical="center" wrapText="1"/>
      <protection/>
    </xf>
    <xf numFmtId="0" fontId="18" fillId="0" borderId="0" xfId="288" applyFont="1" applyBorder="1" applyAlignment="1">
      <alignment horizontal="left"/>
      <protection/>
    </xf>
    <xf numFmtId="0" fontId="13" fillId="0" borderId="0" xfId="288" applyFont="1" applyAlignment="1">
      <alignment horizontal="center"/>
      <protection/>
    </xf>
    <xf numFmtId="49" fontId="31" fillId="0" borderId="0" xfId="288" applyNumberFormat="1" applyFont="1" applyBorder="1" applyAlignment="1">
      <alignment horizontal="justify" vertical="justify" wrapText="1"/>
      <protection/>
    </xf>
    <xf numFmtId="0" fontId="28" fillId="47" borderId="0" xfId="288" applyFont="1" applyFill="1" applyBorder="1" applyAlignment="1">
      <alignment horizontal="center"/>
      <protection/>
    </xf>
    <xf numFmtId="49" fontId="7" fillId="0" borderId="35" xfId="288" applyNumberFormat="1" applyFont="1" applyFill="1" applyBorder="1" applyAlignment="1">
      <alignment horizontal="center" vertical="center"/>
      <protection/>
    </xf>
    <xf numFmtId="49" fontId="7" fillId="0" borderId="36" xfId="288" applyNumberFormat="1" applyFont="1" applyFill="1" applyBorder="1" applyAlignment="1">
      <alignment horizontal="center" vertical="center"/>
      <protection/>
    </xf>
    <xf numFmtId="49" fontId="7" fillId="0" borderId="24" xfId="288" applyNumberFormat="1" applyFont="1" applyFill="1" applyBorder="1" applyAlignment="1">
      <alignment horizontal="center" vertical="center"/>
      <protection/>
    </xf>
    <xf numFmtId="49" fontId="7" fillId="0" borderId="40" xfId="288" applyNumberFormat="1" applyFont="1" applyFill="1" applyBorder="1" applyAlignment="1">
      <alignment horizontal="center" vertical="center"/>
      <protection/>
    </xf>
    <xf numFmtId="49" fontId="7" fillId="0" borderId="27" xfId="288" applyNumberFormat="1" applyFont="1" applyFill="1" applyBorder="1" applyAlignment="1">
      <alignment horizontal="center" vertical="center"/>
      <protection/>
    </xf>
    <xf numFmtId="49" fontId="7" fillId="0" borderId="37" xfId="288" applyNumberFormat="1" applyFont="1" applyFill="1" applyBorder="1" applyAlignment="1">
      <alignment horizontal="center" vertical="center"/>
      <protection/>
    </xf>
    <xf numFmtId="0" fontId="25" fillId="0" borderId="0" xfId="288"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10" fontId="25" fillId="47" borderId="0" xfId="0" applyNumberFormat="1" applyFont="1" applyFill="1" applyAlignment="1">
      <alignment horizontal="center"/>
    </xf>
    <xf numFmtId="0" fontId="25" fillId="47" borderId="0" xfId="0" applyNumberFormat="1" applyFont="1" applyFill="1" applyAlignment="1">
      <alignment horizontal="center"/>
    </xf>
    <xf numFmtId="0" fontId="28" fillId="47" borderId="19" xfId="0" applyNumberFormat="1" applyFont="1" applyFill="1" applyBorder="1" applyAlignment="1">
      <alignment horizontal="center" vertical="center"/>
    </xf>
    <xf numFmtId="0" fontId="25" fillId="47" borderId="0" xfId="0" applyNumberFormat="1" applyFont="1" applyFill="1" applyBorder="1" applyAlignment="1">
      <alignment horizontal="center" wrapText="1"/>
    </xf>
    <xf numFmtId="0" fontId="31" fillId="47" borderId="0" xfId="0" applyNumberFormat="1" applyFont="1" applyFill="1" applyBorder="1" applyAlignment="1">
      <alignment horizontal="left" wrapText="1"/>
    </xf>
    <xf numFmtId="49" fontId="0" fillId="47" borderId="20" xfId="0" applyNumberFormat="1" applyFont="1" applyFill="1" applyBorder="1" applyAlignment="1" applyProtection="1">
      <alignment horizontal="center" vertical="center" wrapText="1"/>
      <protection/>
    </xf>
    <xf numFmtId="49" fontId="18" fillId="47" borderId="44" xfId="0" applyNumberFormat="1" applyFont="1" applyFill="1" applyBorder="1" applyAlignment="1" applyProtection="1">
      <alignment horizontal="center" vertical="center" wrapText="1"/>
      <protection/>
    </xf>
    <xf numFmtId="49" fontId="18" fillId="47" borderId="25" xfId="0" applyNumberFormat="1" applyFont="1" applyFill="1" applyBorder="1" applyAlignment="1" applyProtection="1">
      <alignment horizontal="center" vertical="center" wrapText="1"/>
      <protection/>
    </xf>
    <xf numFmtId="49" fontId="0" fillId="47" borderId="0" xfId="0" applyNumberFormat="1" applyFont="1" applyFill="1" applyBorder="1" applyAlignment="1">
      <alignment horizontal="left" wrapText="1"/>
    </xf>
    <xf numFmtId="49" fontId="0" fillId="47" borderId="20" xfId="0" applyNumberFormat="1" applyFont="1" applyFill="1" applyBorder="1" applyAlignment="1">
      <alignment horizontal="center" vertical="center" wrapText="1"/>
    </xf>
    <xf numFmtId="49" fontId="0" fillId="49" borderId="26" xfId="0" applyNumberFormat="1" applyFont="1" applyFill="1" applyBorder="1" applyAlignment="1" applyProtection="1">
      <alignment horizontal="center" vertical="center" wrapText="1"/>
      <protection/>
    </xf>
    <xf numFmtId="49" fontId="0" fillId="49" borderId="25"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center"/>
    </xf>
    <xf numFmtId="49" fontId="0" fillId="47" borderId="0" xfId="0" applyNumberFormat="1" applyFont="1" applyFill="1" applyAlignment="1">
      <alignment horizontal="center" wrapText="1"/>
    </xf>
    <xf numFmtId="0" fontId="18" fillId="47" borderId="0" xfId="0" applyNumberFormat="1" applyFont="1" applyFill="1" applyAlignment="1">
      <alignment horizontal="center"/>
    </xf>
    <xf numFmtId="1" fontId="0" fillId="47" borderId="20" xfId="0" applyNumberFormat="1" applyFont="1" applyFill="1" applyBorder="1" applyAlignment="1">
      <alignment horizontal="center" vertical="center"/>
    </xf>
    <xf numFmtId="49" fontId="0" fillId="47" borderId="0" xfId="0" applyNumberFormat="1" applyFill="1" applyAlignment="1">
      <alignment horizontal="center" wrapText="1"/>
    </xf>
    <xf numFmtId="49" fontId="0" fillId="47" borderId="0" xfId="0" applyNumberFormat="1" applyFill="1" applyAlignment="1">
      <alignment horizontal="center"/>
    </xf>
    <xf numFmtId="49" fontId="0" fillId="47" borderId="0" xfId="0" applyNumberFormat="1" applyFont="1" applyFill="1" applyAlignment="1">
      <alignment horizontal="left"/>
    </xf>
    <xf numFmtId="0" fontId="0" fillId="47" borderId="0" xfId="0" applyNumberFormat="1" applyFont="1" applyFill="1" applyBorder="1" applyAlignment="1">
      <alignment horizontal="left" wrapText="1"/>
    </xf>
    <xf numFmtId="0" fontId="0" fillId="47" borderId="35" xfId="0" applyNumberFormat="1" applyFont="1" applyFill="1" applyBorder="1" applyAlignment="1">
      <alignment horizontal="center" vertical="center" wrapText="1"/>
    </xf>
    <xf numFmtId="0" fontId="0" fillId="47" borderId="36" xfId="0" applyNumberFormat="1" applyFont="1" applyFill="1" applyBorder="1" applyAlignment="1">
      <alignment horizontal="center" vertical="center" wrapText="1"/>
    </xf>
    <xf numFmtId="0" fontId="0" fillId="47" borderId="24" xfId="0" applyNumberFormat="1" applyFont="1" applyFill="1" applyBorder="1" applyAlignment="1">
      <alignment horizontal="center" vertical="center" wrapText="1"/>
    </xf>
    <xf numFmtId="0" fontId="0" fillId="47" borderId="40" xfId="0" applyNumberFormat="1" applyFont="1" applyFill="1" applyBorder="1" applyAlignment="1">
      <alignment horizontal="center" vertical="center" wrapText="1"/>
    </xf>
    <xf numFmtId="0" fontId="0" fillId="47" borderId="27" xfId="0" applyNumberFormat="1" applyFont="1" applyFill="1" applyBorder="1" applyAlignment="1">
      <alignment horizontal="center" vertical="center" wrapText="1"/>
    </xf>
    <xf numFmtId="0" fontId="0" fillId="47" borderId="37" xfId="0" applyNumberFormat="1" applyFont="1" applyFill="1" applyBorder="1" applyAlignment="1">
      <alignment horizontal="center" vertical="center" wrapText="1"/>
    </xf>
    <xf numFmtId="210" fontId="32"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wrapText="1"/>
    </xf>
    <xf numFmtId="210" fontId="4"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xf>
    <xf numFmtId="49" fontId="18" fillId="47" borderId="46" xfId="0" applyNumberFormat="1" applyFont="1" applyFill="1" applyBorder="1" applyAlignment="1">
      <alignment horizontal="left"/>
    </xf>
    <xf numFmtId="210" fontId="15" fillId="47" borderId="0" xfId="0" applyNumberFormat="1" applyFont="1" applyFill="1" applyAlignment="1">
      <alignment horizontal="center"/>
    </xf>
    <xf numFmtId="210" fontId="15" fillId="47" borderId="0" xfId="0" applyNumberFormat="1" applyFont="1" applyFill="1" applyAlignment="1">
      <alignment horizontal="center" wrapText="1"/>
    </xf>
    <xf numFmtId="210" fontId="23" fillId="47" borderId="0" xfId="0" applyNumberFormat="1" applyFont="1" applyFill="1" applyAlignment="1">
      <alignment horizontal="center"/>
    </xf>
    <xf numFmtId="210" fontId="4" fillId="47" borderId="20" xfId="0" applyNumberFormat="1" applyFont="1" applyFill="1" applyBorder="1" applyAlignment="1" applyProtection="1">
      <alignment horizontal="center" vertical="center" wrapText="1"/>
      <protection/>
    </xf>
    <xf numFmtId="210" fontId="4" fillId="47" borderId="45" xfId="0" applyNumberFormat="1" applyFont="1" applyFill="1" applyBorder="1" applyAlignment="1" applyProtection="1">
      <alignment horizontal="center" vertical="center" wrapText="1"/>
      <protection/>
    </xf>
    <xf numFmtId="210" fontId="32" fillId="47" borderId="20" xfId="0" applyNumberFormat="1" applyFont="1" applyFill="1" applyBorder="1" applyAlignment="1" applyProtection="1">
      <alignment horizontal="center" vertical="center" wrapText="1"/>
      <protection/>
    </xf>
    <xf numFmtId="49" fontId="19" fillId="47" borderId="47" xfId="0" applyNumberFormat="1" applyFont="1" applyFill="1" applyBorder="1" applyAlignment="1" applyProtection="1">
      <alignment horizontal="center" vertical="center" wrapText="1"/>
      <protection/>
    </xf>
    <xf numFmtId="49" fontId="19" fillId="47" borderId="20" xfId="0" applyNumberFormat="1" applyFont="1" applyFill="1" applyBorder="1" applyAlignment="1" applyProtection="1">
      <alignment horizontal="center" vertical="center" wrapText="1"/>
      <protection/>
    </xf>
    <xf numFmtId="0" fontId="4" fillId="47" borderId="48" xfId="0" applyNumberFormat="1" applyFont="1" applyFill="1" applyBorder="1" applyAlignment="1">
      <alignment horizontal="center" vertical="center" wrapText="1"/>
    </xf>
    <xf numFmtId="0" fontId="4" fillId="47" borderId="45" xfId="0" applyNumberFormat="1" applyFont="1" applyFill="1" applyBorder="1" applyAlignment="1">
      <alignment horizontal="center" vertical="center" wrapText="1"/>
    </xf>
    <xf numFmtId="0" fontId="4" fillId="47" borderId="47" xfId="0" applyNumberFormat="1" applyFont="1" applyFill="1" applyBorder="1" applyAlignment="1">
      <alignment horizontal="center" vertical="center" wrapText="1"/>
    </xf>
    <xf numFmtId="0" fontId="4" fillId="47" borderId="20" xfId="0" applyNumberFormat="1" applyFont="1" applyFill="1" applyBorder="1" applyAlignment="1">
      <alignment horizontal="center" vertical="center" wrapText="1"/>
    </xf>
    <xf numFmtId="0" fontId="28" fillId="47" borderId="0" xfId="0" applyNumberFormat="1" applyFont="1" applyFill="1" applyBorder="1" applyAlignment="1">
      <alignment horizontal="center" vertical="center"/>
    </xf>
    <xf numFmtId="4" fontId="4" fillId="47" borderId="49" xfId="0" applyNumberFormat="1" applyFont="1" applyFill="1" applyBorder="1" applyAlignment="1" applyProtection="1">
      <alignment horizontal="center" vertical="center" wrapText="1"/>
      <protection/>
    </xf>
    <xf numFmtId="4" fontId="4" fillId="47" borderId="39" xfId="0" applyNumberFormat="1" applyFont="1" applyFill="1" applyBorder="1" applyAlignment="1" applyProtection="1">
      <alignment horizontal="center" vertical="center" wrapText="1"/>
      <protection/>
    </xf>
    <xf numFmtId="210" fontId="32" fillId="47" borderId="45" xfId="0" applyNumberFormat="1" applyFont="1" applyFill="1" applyBorder="1" applyAlignment="1" applyProtection="1">
      <alignment horizontal="center" vertical="center" wrapText="1"/>
      <protection/>
    </xf>
    <xf numFmtId="49" fontId="8" fillId="49" borderId="26" xfId="0" applyNumberFormat="1" applyFont="1" applyFill="1" applyBorder="1" applyAlignment="1" applyProtection="1">
      <alignment horizontal="center" vertical="center" wrapText="1"/>
      <protection/>
    </xf>
    <xf numFmtId="49" fontId="8" fillId="49" borderId="25" xfId="0" applyNumberFormat="1" applyFont="1" applyFill="1" applyBorder="1" applyAlignment="1" applyProtection="1">
      <alignment horizontal="center" vertical="center" wrapText="1"/>
      <protection/>
    </xf>
    <xf numFmtId="49" fontId="28" fillId="47" borderId="0" xfId="0" applyNumberFormat="1" applyFont="1" applyFill="1" applyAlignment="1">
      <alignment horizontal="left"/>
    </xf>
    <xf numFmtId="49" fontId="28" fillId="47" borderId="0" xfId="0" applyNumberFormat="1" applyFont="1" applyFill="1" applyBorder="1" applyAlignment="1">
      <alignment horizontal="left"/>
    </xf>
    <xf numFmtId="0" fontId="25" fillId="47" borderId="0" xfId="0" applyNumberFormat="1" applyFont="1" applyFill="1" applyBorder="1" applyAlignment="1">
      <alignment horizontal="center" vertical="center"/>
    </xf>
  </cellXfs>
  <cellStyles count="30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3" xfId="165"/>
    <cellStyle name="Normal 2_01"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 2" xfId="178"/>
    <cellStyle name="Normal 3_01" xfId="179"/>
    <cellStyle name="Normal 30"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_01"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 10" xfId="204"/>
    <cellStyle name="Normal 5 11" xfId="205"/>
    <cellStyle name="Normal 5 12" xfId="206"/>
    <cellStyle name="Normal 5 13" xfId="207"/>
    <cellStyle name="Normal 5 14" xfId="208"/>
    <cellStyle name="Normal 5 15" xfId="209"/>
    <cellStyle name="Normal 5 16" xfId="210"/>
    <cellStyle name="Normal 5 17" xfId="211"/>
    <cellStyle name="Normal 5 18" xfId="212"/>
    <cellStyle name="Normal 5 19" xfId="213"/>
    <cellStyle name="Normal 5 2" xfId="214"/>
    <cellStyle name="Normal 5 20" xfId="215"/>
    <cellStyle name="Normal 5 3" xfId="216"/>
    <cellStyle name="Normal 5 4" xfId="217"/>
    <cellStyle name="Normal 5 5" xfId="218"/>
    <cellStyle name="Normal 5 6" xfId="219"/>
    <cellStyle name="Normal 5 7" xfId="220"/>
    <cellStyle name="Normal 5 8" xfId="221"/>
    <cellStyle name="Normal 5 9" xfId="222"/>
    <cellStyle name="Normal 50" xfId="223"/>
    <cellStyle name="Normal 6" xfId="224"/>
    <cellStyle name="Normal 6 10" xfId="225"/>
    <cellStyle name="Normal 6 11" xfId="226"/>
    <cellStyle name="Normal 6 12" xfId="227"/>
    <cellStyle name="Normal 6 13" xfId="228"/>
    <cellStyle name="Normal 6 14" xfId="229"/>
    <cellStyle name="Normal 6 15" xfId="230"/>
    <cellStyle name="Normal 6 16" xfId="231"/>
    <cellStyle name="Normal 6 17" xfId="232"/>
    <cellStyle name="Normal 6 18" xfId="233"/>
    <cellStyle name="Normal 6 2" xfId="234"/>
    <cellStyle name="Normal 6 3" xfId="235"/>
    <cellStyle name="Normal 6 4" xfId="236"/>
    <cellStyle name="Normal 6 5" xfId="237"/>
    <cellStyle name="Normal 6 6" xfId="238"/>
    <cellStyle name="Normal 6 7" xfId="239"/>
    <cellStyle name="Normal 6 8" xfId="240"/>
    <cellStyle name="Normal 6 9" xfId="241"/>
    <cellStyle name="Normal 7" xfId="242"/>
    <cellStyle name="Normal 7 10" xfId="243"/>
    <cellStyle name="Normal 7 11" xfId="244"/>
    <cellStyle name="Normal 7 12" xfId="245"/>
    <cellStyle name="Normal 7 13" xfId="246"/>
    <cellStyle name="Normal 7 14" xfId="247"/>
    <cellStyle name="Normal 7 15" xfId="248"/>
    <cellStyle name="Normal 7 16" xfId="249"/>
    <cellStyle name="Normal 7 2" xfId="250"/>
    <cellStyle name="Normal 7 3" xfId="251"/>
    <cellStyle name="Normal 7 4" xfId="252"/>
    <cellStyle name="Normal 7 5" xfId="253"/>
    <cellStyle name="Normal 7 6" xfId="254"/>
    <cellStyle name="Normal 7 7" xfId="255"/>
    <cellStyle name="Normal 7 8" xfId="256"/>
    <cellStyle name="Normal 7 9" xfId="257"/>
    <cellStyle name="Normal 8" xfId="258"/>
    <cellStyle name="Normal 8 10" xfId="259"/>
    <cellStyle name="Normal 8 11" xfId="260"/>
    <cellStyle name="Normal 8 12" xfId="261"/>
    <cellStyle name="Normal 8 13" xfId="262"/>
    <cellStyle name="Normal 8 14" xfId="263"/>
    <cellStyle name="Normal 8 2" xfId="264"/>
    <cellStyle name="Normal 8 3" xfId="265"/>
    <cellStyle name="Normal 8 4" xfId="266"/>
    <cellStyle name="Normal 8 5" xfId="267"/>
    <cellStyle name="Normal 8 6" xfId="268"/>
    <cellStyle name="Normal 8 7" xfId="269"/>
    <cellStyle name="Normal 8 8" xfId="270"/>
    <cellStyle name="Normal 8 9" xfId="271"/>
    <cellStyle name="Normal 9" xfId="272"/>
    <cellStyle name="Normal 9 10" xfId="273"/>
    <cellStyle name="Normal 9 11" xfId="274"/>
    <cellStyle name="Normal 9 12" xfId="275"/>
    <cellStyle name="Normal 9 2" xfId="276"/>
    <cellStyle name="Normal 9 3" xfId="277"/>
    <cellStyle name="Normal 9 4" xfId="278"/>
    <cellStyle name="Normal 9 5" xfId="279"/>
    <cellStyle name="Normal 9 6" xfId="280"/>
    <cellStyle name="Normal 9 7" xfId="281"/>
    <cellStyle name="Normal 9 8" xfId="282"/>
    <cellStyle name="Normal 9 9" xfId="283"/>
    <cellStyle name="Normal_1. (Goc) THONG KE TT01 Toàn tỉnh Hoa Binh 6 tháng 2013" xfId="284"/>
    <cellStyle name="Normal_1. (Goc) THONG KE TT01 Toàn tỉnh Hoa Binh 6 tháng 2013_07" xfId="285"/>
    <cellStyle name="Normal_19 bieu m nhapcong thuc da sao 11 don vi " xfId="286"/>
    <cellStyle name="Normal_Bieu 8 - Bieu 19 toan tinh" xfId="287"/>
    <cellStyle name="Normal_Bieu mau TK tu 11 den 19 (ban phat hanh)" xfId="288"/>
    <cellStyle name="Normal_Bieu mau TK tu 11 den 19 (ban phat hanh)_07" xfId="289"/>
    <cellStyle name="Normal_Sheet1" xfId="290"/>
    <cellStyle name="Normal_Sheet1_1" xfId="291"/>
    <cellStyle name="Normal_Sheet2" xfId="292"/>
    <cellStyle name="Normal_Sheet3" xfId="293"/>
    <cellStyle name="Note" xfId="294"/>
    <cellStyle name="Note 2" xfId="295"/>
    <cellStyle name="Note 3" xfId="296"/>
    <cellStyle name="Output" xfId="297"/>
    <cellStyle name="Output 2" xfId="298"/>
    <cellStyle name="Output 3" xfId="299"/>
    <cellStyle name="Percent" xfId="300"/>
    <cellStyle name="Percent 10" xfId="301"/>
    <cellStyle name="Percent 11" xfId="302"/>
    <cellStyle name="Percent 13" xfId="303"/>
    <cellStyle name="Percent 14" xfId="304"/>
    <cellStyle name="Percent 2" xfId="305"/>
    <cellStyle name="Percent 2 2" xfId="306"/>
    <cellStyle name="Percent 2 2 2" xfId="307"/>
    <cellStyle name="Percent 2 2 2 2" xfId="308"/>
    <cellStyle name="Percent 3" xfId="309"/>
    <cellStyle name="Percent 4" xfId="310"/>
    <cellStyle name="Title" xfId="311"/>
    <cellStyle name="Title 2" xfId="312"/>
    <cellStyle name="Title 3" xfId="313"/>
    <cellStyle name="Total" xfId="314"/>
    <cellStyle name="Total 2" xfId="315"/>
    <cellStyle name="Total 3" xfId="316"/>
    <cellStyle name="Warning Text" xfId="317"/>
    <cellStyle name="Warning Text 2" xfId="318"/>
    <cellStyle name="Warning Text 3" xfId="319"/>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4" t="s">
        <v>26</v>
      </c>
      <c r="B1" s="574"/>
      <c r="C1" s="573" t="s">
        <v>72</v>
      </c>
      <c r="D1" s="573"/>
      <c r="E1" s="573"/>
      <c r="F1" s="575" t="s">
        <v>68</v>
      </c>
      <c r="G1" s="575"/>
      <c r="H1" s="575"/>
    </row>
    <row r="2" spans="1:8" ht="33.75" customHeight="1">
      <c r="A2" s="576" t="s">
        <v>75</v>
      </c>
      <c r="B2" s="576"/>
      <c r="C2" s="573"/>
      <c r="D2" s="573"/>
      <c r="E2" s="573"/>
      <c r="F2" s="572" t="s">
        <v>69</v>
      </c>
      <c r="G2" s="572"/>
      <c r="H2" s="572"/>
    </row>
    <row r="3" spans="1:8" ht="19.5" customHeight="1">
      <c r="A3" s="6" t="s">
        <v>63</v>
      </c>
      <c r="B3" s="6"/>
      <c r="C3" s="24"/>
      <c r="D3" s="24"/>
      <c r="E3" s="24"/>
      <c r="F3" s="572" t="s">
        <v>70</v>
      </c>
      <c r="G3" s="572"/>
      <c r="H3" s="572"/>
    </row>
    <row r="4" spans="1:8" s="7" customFormat="1" ht="19.5" customHeight="1">
      <c r="A4" s="6"/>
      <c r="B4" s="6"/>
      <c r="D4" s="8"/>
      <c r="F4" s="9" t="s">
        <v>71</v>
      </c>
      <c r="G4" s="9"/>
      <c r="H4" s="9"/>
    </row>
    <row r="5" spans="1:8" s="23" customFormat="1" ht="36" customHeight="1">
      <c r="A5" s="554" t="s">
        <v>55</v>
      </c>
      <c r="B5" s="555"/>
      <c r="C5" s="558" t="s">
        <v>66</v>
      </c>
      <c r="D5" s="559"/>
      <c r="E5" s="560" t="s">
        <v>65</v>
      </c>
      <c r="F5" s="560"/>
      <c r="G5" s="560"/>
      <c r="H5" s="561"/>
    </row>
    <row r="6" spans="1:8" s="23" customFormat="1" ht="20.25" customHeight="1">
      <c r="A6" s="556"/>
      <c r="B6" s="557"/>
      <c r="C6" s="562" t="s">
        <v>3</v>
      </c>
      <c r="D6" s="562" t="s">
        <v>73</v>
      </c>
      <c r="E6" s="564" t="s">
        <v>67</v>
      </c>
      <c r="F6" s="561"/>
      <c r="G6" s="564" t="s">
        <v>74</v>
      </c>
      <c r="H6" s="561"/>
    </row>
    <row r="7" spans="1:8" s="23" customFormat="1" ht="52.5" customHeight="1">
      <c r="A7" s="556"/>
      <c r="B7" s="557"/>
      <c r="C7" s="563"/>
      <c r="D7" s="563"/>
      <c r="E7" s="5" t="s">
        <v>3</v>
      </c>
      <c r="F7" s="5" t="s">
        <v>9</v>
      </c>
      <c r="G7" s="5" t="s">
        <v>3</v>
      </c>
      <c r="H7" s="5" t="s">
        <v>9</v>
      </c>
    </row>
    <row r="8" spans="1:8" ht="15" customHeight="1">
      <c r="A8" s="566" t="s">
        <v>6</v>
      </c>
      <c r="B8" s="567"/>
      <c r="C8" s="10">
        <v>1</v>
      </c>
      <c r="D8" s="10" t="s">
        <v>44</v>
      </c>
      <c r="E8" s="10" t="s">
        <v>47</v>
      </c>
      <c r="F8" s="10" t="s">
        <v>56</v>
      </c>
      <c r="G8" s="10" t="s">
        <v>57</v>
      </c>
      <c r="H8" s="10" t="s">
        <v>58</v>
      </c>
    </row>
    <row r="9" spans="1:8" ht="26.25" customHeight="1">
      <c r="A9" s="568" t="s">
        <v>33</v>
      </c>
      <c r="B9" s="569"/>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0" t="s">
        <v>54</v>
      </c>
      <c r="C16" s="570"/>
      <c r="D16" s="26"/>
      <c r="E16" s="551" t="s">
        <v>19</v>
      </c>
      <c r="F16" s="551"/>
      <c r="G16" s="551"/>
      <c r="H16" s="551"/>
    </row>
    <row r="17" spans="2:8" ht="15.75" customHeight="1">
      <c r="B17" s="570"/>
      <c r="C17" s="570"/>
      <c r="D17" s="26"/>
      <c r="E17" s="552" t="s">
        <v>38</v>
      </c>
      <c r="F17" s="552"/>
      <c r="G17" s="552"/>
      <c r="H17" s="552"/>
    </row>
    <row r="18" spans="2:8" s="27" customFormat="1" ht="15.75" customHeight="1">
      <c r="B18" s="570"/>
      <c r="C18" s="570"/>
      <c r="D18" s="28"/>
      <c r="E18" s="553" t="s">
        <v>53</v>
      </c>
      <c r="F18" s="553"/>
      <c r="G18" s="553"/>
      <c r="H18" s="553"/>
    </row>
    <row r="20" ht="15.75">
      <c r="B20" s="19"/>
    </row>
    <row r="22" ht="15.75" hidden="1">
      <c r="A22" s="20" t="s">
        <v>41</v>
      </c>
    </row>
    <row r="23" spans="1:3" ht="15.75" hidden="1">
      <c r="A23" s="21"/>
      <c r="B23" s="571" t="s">
        <v>48</v>
      </c>
      <c r="C23" s="571"/>
    </row>
    <row r="24" spans="1:8" ht="15.75" customHeight="1" hidden="1">
      <c r="A24" s="22" t="s">
        <v>25</v>
      </c>
      <c r="B24" s="565" t="s">
        <v>51</v>
      </c>
      <c r="C24" s="565"/>
      <c r="D24" s="22"/>
      <c r="E24" s="22"/>
      <c r="F24" s="22"/>
      <c r="G24" s="22"/>
      <c r="H24" s="22"/>
    </row>
    <row r="25" spans="1:8" ht="15" customHeight="1" hidden="1">
      <c r="A25" s="22"/>
      <c r="B25" s="565" t="s">
        <v>52</v>
      </c>
      <c r="C25" s="565"/>
      <c r="D25" s="565"/>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36" t="s">
        <v>224</v>
      </c>
      <c r="B1" s="736"/>
      <c r="C1" s="736"/>
      <c r="D1" s="739" t="s">
        <v>340</v>
      </c>
      <c r="E1" s="739"/>
      <c r="F1" s="739"/>
      <c r="G1" s="739"/>
      <c r="H1" s="739"/>
      <c r="I1" s="739"/>
      <c r="J1" s="191" t="s">
        <v>341</v>
      </c>
      <c r="K1" s="322"/>
      <c r="L1" s="322"/>
    </row>
    <row r="2" spans="1:12" ht="18.75" customHeight="1">
      <c r="A2" s="737" t="s">
        <v>299</v>
      </c>
      <c r="B2" s="737"/>
      <c r="C2" s="737"/>
      <c r="D2" s="831" t="s">
        <v>225</v>
      </c>
      <c r="E2" s="831"/>
      <c r="F2" s="831"/>
      <c r="G2" s="831"/>
      <c r="H2" s="831"/>
      <c r="I2" s="831"/>
      <c r="J2" s="736" t="s">
        <v>342</v>
      </c>
      <c r="K2" s="736"/>
      <c r="L2" s="736"/>
    </row>
    <row r="3" spans="1:12" ht="17.25">
      <c r="A3" s="737" t="s">
        <v>251</v>
      </c>
      <c r="B3" s="737"/>
      <c r="C3" s="737"/>
      <c r="D3" s="832" t="s">
        <v>343</v>
      </c>
      <c r="E3" s="833"/>
      <c r="F3" s="833"/>
      <c r="G3" s="833"/>
      <c r="H3" s="833"/>
      <c r="I3" s="833"/>
      <c r="J3" s="194" t="s">
        <v>359</v>
      </c>
      <c r="K3" s="194"/>
      <c r="L3" s="194"/>
    </row>
    <row r="4" spans="1:12" ht="15.75">
      <c r="A4" s="835" t="s">
        <v>344</v>
      </c>
      <c r="B4" s="835"/>
      <c r="C4" s="835"/>
      <c r="D4" s="836"/>
      <c r="E4" s="836"/>
      <c r="F4" s="836"/>
      <c r="G4" s="836"/>
      <c r="H4" s="836"/>
      <c r="I4" s="836"/>
      <c r="J4" s="732" t="s">
        <v>301</v>
      </c>
      <c r="K4" s="732"/>
      <c r="L4" s="732"/>
    </row>
    <row r="5" spans="1:13" ht="15.75">
      <c r="A5" s="324"/>
      <c r="B5" s="324"/>
      <c r="C5" s="325"/>
      <c r="D5" s="325"/>
      <c r="E5" s="193"/>
      <c r="J5" s="326" t="s">
        <v>345</v>
      </c>
      <c r="K5" s="241"/>
      <c r="L5" s="241"/>
      <c r="M5" s="241"/>
    </row>
    <row r="6" spans="1:13" s="329" customFormat="1" ht="24.75" customHeight="1">
      <c r="A6" s="839" t="s">
        <v>55</v>
      </c>
      <c r="B6" s="840"/>
      <c r="C6" s="834" t="s">
        <v>346</v>
      </c>
      <c r="D6" s="834"/>
      <c r="E6" s="834"/>
      <c r="F6" s="834"/>
      <c r="G6" s="834"/>
      <c r="H6" s="834"/>
      <c r="I6" s="834" t="s">
        <v>226</v>
      </c>
      <c r="J6" s="834"/>
      <c r="K6" s="834"/>
      <c r="L6" s="834"/>
      <c r="M6" s="328"/>
    </row>
    <row r="7" spans="1:13" s="329" customFormat="1" ht="17.25" customHeight="1">
      <c r="A7" s="841"/>
      <c r="B7" s="842"/>
      <c r="C7" s="834" t="s">
        <v>31</v>
      </c>
      <c r="D7" s="834"/>
      <c r="E7" s="834" t="s">
        <v>7</v>
      </c>
      <c r="F7" s="834"/>
      <c r="G7" s="834"/>
      <c r="H7" s="834"/>
      <c r="I7" s="834" t="s">
        <v>227</v>
      </c>
      <c r="J7" s="834"/>
      <c r="K7" s="834" t="s">
        <v>228</v>
      </c>
      <c r="L7" s="834"/>
      <c r="M7" s="328"/>
    </row>
    <row r="8" spans="1:12" s="329" customFormat="1" ht="27.75" customHeight="1">
      <c r="A8" s="841"/>
      <c r="B8" s="842"/>
      <c r="C8" s="834"/>
      <c r="D8" s="834"/>
      <c r="E8" s="834" t="s">
        <v>229</v>
      </c>
      <c r="F8" s="834"/>
      <c r="G8" s="834" t="s">
        <v>230</v>
      </c>
      <c r="H8" s="834"/>
      <c r="I8" s="834"/>
      <c r="J8" s="834"/>
      <c r="K8" s="834"/>
      <c r="L8" s="834"/>
    </row>
    <row r="9" spans="1:12" s="329" customFormat="1" ht="24.75" customHeight="1">
      <c r="A9" s="843"/>
      <c r="B9" s="844"/>
      <c r="C9" s="327" t="s">
        <v>231</v>
      </c>
      <c r="D9" s="327" t="s">
        <v>9</v>
      </c>
      <c r="E9" s="327" t="s">
        <v>3</v>
      </c>
      <c r="F9" s="327" t="s">
        <v>232</v>
      </c>
      <c r="G9" s="327" t="s">
        <v>3</v>
      </c>
      <c r="H9" s="327" t="s">
        <v>232</v>
      </c>
      <c r="I9" s="327" t="s">
        <v>3</v>
      </c>
      <c r="J9" s="327" t="s">
        <v>232</v>
      </c>
      <c r="K9" s="327" t="s">
        <v>3</v>
      </c>
      <c r="L9" s="327" t="s">
        <v>232</v>
      </c>
    </row>
    <row r="10" spans="1:12" s="331" customFormat="1" ht="15.75">
      <c r="A10" s="767" t="s">
        <v>6</v>
      </c>
      <c r="B10" s="768"/>
      <c r="C10" s="330">
        <v>1</v>
      </c>
      <c r="D10" s="330">
        <v>2</v>
      </c>
      <c r="E10" s="330">
        <v>3</v>
      </c>
      <c r="F10" s="330">
        <v>4</v>
      </c>
      <c r="G10" s="330">
        <v>5</v>
      </c>
      <c r="H10" s="330">
        <v>6</v>
      </c>
      <c r="I10" s="330">
        <v>7</v>
      </c>
      <c r="J10" s="330">
        <v>8</v>
      </c>
      <c r="K10" s="330">
        <v>9</v>
      </c>
      <c r="L10" s="330">
        <v>10</v>
      </c>
    </row>
    <row r="11" spans="1:12" s="331" customFormat="1" ht="30.75" customHeight="1">
      <c r="A11" s="756" t="s">
        <v>296</v>
      </c>
      <c r="B11" s="757"/>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3" t="s">
        <v>297</v>
      </c>
      <c r="B12" s="744"/>
      <c r="C12" s="249">
        <v>0</v>
      </c>
      <c r="D12" s="249">
        <v>0</v>
      </c>
      <c r="E12" s="249">
        <v>0</v>
      </c>
      <c r="F12" s="249">
        <v>0</v>
      </c>
      <c r="G12" s="249">
        <v>0</v>
      </c>
      <c r="H12" s="249">
        <v>0</v>
      </c>
      <c r="I12" s="249">
        <v>0</v>
      </c>
      <c r="J12" s="249">
        <v>0</v>
      </c>
      <c r="K12" s="249">
        <v>0</v>
      </c>
      <c r="L12" s="249">
        <v>0</v>
      </c>
    </row>
    <row r="13" spans="1:32" s="331" customFormat="1" ht="17.25" customHeight="1">
      <c r="A13" s="751" t="s">
        <v>30</v>
      </c>
      <c r="B13" s="745"/>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48" t="s">
        <v>284</v>
      </c>
      <c r="C28" s="748"/>
      <c r="D28" s="748"/>
      <c r="E28" s="204"/>
      <c r="F28" s="258"/>
      <c r="G28" s="258"/>
      <c r="H28" s="747" t="s">
        <v>284</v>
      </c>
      <c r="I28" s="747"/>
      <c r="J28" s="747"/>
      <c r="K28" s="747"/>
      <c r="L28" s="747"/>
      <c r="AG28" s="192" t="s">
        <v>285</v>
      </c>
      <c r="AI28" s="190">
        <f>82/88</f>
        <v>0.9318181818181818</v>
      </c>
    </row>
    <row r="29" spans="1:12" s="192" customFormat="1" ht="19.5" customHeight="1">
      <c r="A29" s="202"/>
      <c r="B29" s="749" t="s">
        <v>233</v>
      </c>
      <c r="C29" s="749"/>
      <c r="D29" s="749"/>
      <c r="E29" s="204"/>
      <c r="F29" s="205"/>
      <c r="G29" s="205"/>
      <c r="H29" s="750" t="s">
        <v>151</v>
      </c>
      <c r="I29" s="750"/>
      <c r="J29" s="750"/>
      <c r="K29" s="750"/>
      <c r="L29" s="750"/>
    </row>
    <row r="30" spans="1:12" s="196" customFormat="1" ht="15" customHeight="1">
      <c r="A30" s="202"/>
      <c r="B30" s="838"/>
      <c r="C30" s="838"/>
      <c r="D30" s="838"/>
      <c r="E30" s="204"/>
      <c r="F30" s="205"/>
      <c r="G30" s="205"/>
      <c r="H30" s="711"/>
      <c r="I30" s="711"/>
      <c r="J30" s="711"/>
      <c r="K30" s="711"/>
      <c r="L30" s="71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5" t="s">
        <v>288</v>
      </c>
      <c r="C33" s="845"/>
      <c r="D33" s="845"/>
      <c r="E33" s="336"/>
      <c r="F33" s="336"/>
      <c r="G33" s="336"/>
      <c r="H33" s="336"/>
      <c r="I33" s="336"/>
      <c r="J33" s="337" t="s">
        <v>288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37" t="s">
        <v>234</v>
      </c>
      <c r="C37" s="837"/>
      <c r="D37" s="837"/>
      <c r="E37" s="837"/>
      <c r="F37" s="837"/>
      <c r="G37" s="837"/>
      <c r="H37" s="837"/>
      <c r="I37" s="837"/>
      <c r="J37" s="837"/>
      <c r="K37" s="339"/>
      <c r="L37" s="294"/>
      <c r="M37" s="265"/>
      <c r="N37" s="265"/>
      <c r="O37" s="265"/>
    </row>
    <row r="38" spans="2:12" s="184" customFormat="1" ht="18.75" hidden="1">
      <c r="B38" s="236" t="s">
        <v>235</v>
      </c>
      <c r="C38" s="186"/>
      <c r="D38" s="186"/>
      <c r="E38" s="186"/>
      <c r="F38" s="186"/>
      <c r="G38" s="186"/>
      <c r="H38" s="186"/>
      <c r="I38" s="186"/>
      <c r="J38" s="186"/>
      <c r="K38" s="338"/>
      <c r="L38" s="186"/>
    </row>
    <row r="39" spans="2:12" ht="18.75" hidden="1">
      <c r="B39" s="340" t="s">
        <v>236</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07" t="s">
        <v>330</v>
      </c>
      <c r="C41" s="607"/>
      <c r="D41" s="607"/>
      <c r="E41" s="210"/>
      <c r="F41" s="210"/>
      <c r="G41" s="182"/>
      <c r="H41" s="608" t="s">
        <v>242</v>
      </c>
      <c r="I41" s="608"/>
      <c r="J41" s="608"/>
      <c r="K41" s="608"/>
      <c r="L41" s="608"/>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6" t="s">
        <v>372</v>
      </c>
      <c r="M1" s="847"/>
      <c r="N1" s="847"/>
      <c r="O1" s="365"/>
      <c r="P1" s="365"/>
      <c r="Q1" s="365"/>
      <c r="R1" s="365"/>
      <c r="S1" s="365"/>
      <c r="T1" s="365"/>
      <c r="U1" s="365"/>
      <c r="V1" s="365"/>
      <c r="W1" s="365"/>
      <c r="X1" s="365"/>
      <c r="Y1" s="366"/>
    </row>
    <row r="2" spans="11:17" ht="34.5" customHeight="1">
      <c r="K2" s="349"/>
      <c r="L2" s="848" t="s">
        <v>379</v>
      </c>
      <c r="M2" s="849"/>
      <c r="N2" s="850"/>
      <c r="O2" s="29"/>
      <c r="P2" s="351"/>
      <c r="Q2" s="347"/>
    </row>
    <row r="3" spans="11:18" ht="31.5" customHeight="1">
      <c r="K3" s="349"/>
      <c r="L3" s="354" t="s">
        <v>388</v>
      </c>
      <c r="M3" s="355">
        <f>'06'!C11</f>
        <v>10046</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1949</v>
      </c>
      <c r="N5" s="355"/>
      <c r="O5" s="355"/>
      <c r="P5" s="352"/>
      <c r="Q5" s="348"/>
      <c r="R5" s="345"/>
    </row>
    <row r="6" spans="11:18" ht="27" customHeight="1">
      <c r="K6" s="349"/>
      <c r="L6" s="354" t="s">
        <v>375</v>
      </c>
      <c r="M6" s="355">
        <f>'06'!F11</f>
        <v>18</v>
      </c>
      <c r="N6" s="355"/>
      <c r="O6" s="355"/>
      <c r="P6" s="352"/>
      <c r="Q6" s="348"/>
      <c r="R6" s="345"/>
    </row>
    <row r="7" spans="11:18" s="342" customFormat="1" ht="30" customHeight="1">
      <c r="K7" s="350"/>
      <c r="L7" s="358" t="s">
        <v>390</v>
      </c>
      <c r="M7" s="355">
        <f>'06'!H11</f>
        <v>10028</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5.734721289456011</v>
      </c>
      <c r="N9" s="355"/>
      <c r="O9" s="355"/>
      <c r="P9" s="352"/>
      <c r="Q9" s="348"/>
      <c r="R9" s="345"/>
    </row>
    <row r="10" spans="11:18" ht="33" customHeight="1">
      <c r="K10" s="349"/>
      <c r="L10" s="354" t="s">
        <v>391</v>
      </c>
      <c r="M10" s="355">
        <f>'06'!I11</f>
        <v>4285</v>
      </c>
      <c r="N10" s="355" t="s">
        <v>376</v>
      </c>
      <c r="O10" s="361">
        <f>M10/M7</f>
        <v>0.42730355005983245</v>
      </c>
      <c r="P10" s="352"/>
      <c r="Q10" s="348"/>
      <c r="R10" s="345"/>
    </row>
    <row r="11" spans="11:18" ht="22.5" customHeight="1">
      <c r="K11" s="349"/>
      <c r="L11" s="354" t="s">
        <v>393</v>
      </c>
      <c r="M11" s="355">
        <f>'06'!Q11</f>
        <v>5743</v>
      </c>
      <c r="N11" s="355" t="s">
        <v>376</v>
      </c>
      <c r="O11" s="361">
        <f>M11/M7</f>
        <v>0.5726964499401676</v>
      </c>
      <c r="P11" s="352"/>
      <c r="Q11" s="348"/>
      <c r="R11" s="345"/>
    </row>
    <row r="12" spans="11:18" ht="34.5" customHeight="1">
      <c r="K12" s="349"/>
      <c r="L12" s="354" t="s">
        <v>394</v>
      </c>
      <c r="M12" s="355">
        <f>'06'!J11+'06'!K11</f>
        <v>1090</v>
      </c>
      <c r="N12" s="354"/>
      <c r="O12" s="354"/>
      <c r="P12" s="346"/>
      <c r="R12" s="346"/>
    </row>
    <row r="13" spans="11:18" ht="33.75" customHeight="1">
      <c r="K13" s="349"/>
      <c r="L13" s="354" t="s">
        <v>395</v>
      </c>
      <c r="M13" s="361">
        <f>M12/M7</f>
        <v>0.10869565217391304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-0.3943265103512717</v>
      </c>
      <c r="N18" s="355"/>
      <c r="O18" s="355"/>
      <c r="P18" s="352"/>
      <c r="R18" s="346"/>
    </row>
    <row r="19" spans="11:18" ht="24.75" customHeight="1">
      <c r="K19" s="349"/>
      <c r="L19" s="354" t="s">
        <v>398</v>
      </c>
      <c r="M19" s="355">
        <f>'06'!J11</f>
        <v>1048</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0.24457409568261376</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-0.42808777482098337</v>
      </c>
      <c r="N30" s="355"/>
      <c r="O30" s="355"/>
      <c r="P30" s="352"/>
      <c r="R30" s="346"/>
    </row>
    <row r="31" spans="11:18" ht="24.75" customHeight="1">
      <c r="K31" s="349"/>
      <c r="L31" s="354" t="s">
        <v>402</v>
      </c>
      <c r="M31" s="355">
        <f>'06'!R11</f>
        <v>8938</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8219</v>
      </c>
      <c r="N33" s="369" t="s">
        <v>378</v>
      </c>
      <c r="O33" s="368">
        <f>(M31-M32)/M32</f>
        <v>11.43115438108484</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4271141592</v>
      </c>
      <c r="N42" s="355"/>
      <c r="O42" s="355"/>
      <c r="P42" s="346"/>
      <c r="R42" s="346"/>
    </row>
    <row r="43" spans="11:18" ht="24.75" customHeight="1">
      <c r="K43" s="349"/>
      <c r="L43" s="363" t="s">
        <v>98</v>
      </c>
      <c r="M43" s="355">
        <f>'07'!D11</f>
        <v>3209226708</v>
      </c>
      <c r="N43" s="355"/>
      <c r="O43" s="355"/>
      <c r="P43" s="346"/>
      <c r="R43" s="346"/>
    </row>
    <row r="44" spans="11:18" ht="24.75" customHeight="1">
      <c r="K44" s="349"/>
      <c r="L44" s="363" t="s">
        <v>374</v>
      </c>
      <c r="M44" s="355">
        <f>'07'!E11</f>
        <v>1061914884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2156212</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4169156506</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4114928683.558</v>
      </c>
      <c r="N52" s="355"/>
      <c r="O52" s="355"/>
      <c r="P52" s="346"/>
      <c r="R52" s="346"/>
    </row>
    <row r="53" spans="11:18" ht="24.75" customHeight="1">
      <c r="K53" s="349"/>
      <c r="L53" s="377" t="s">
        <v>382</v>
      </c>
      <c r="M53" s="368">
        <f>(M52/M51)</f>
        <v>75.88224085448333</v>
      </c>
      <c r="N53" s="355"/>
      <c r="O53" s="355"/>
      <c r="P53" s="346"/>
      <c r="R53" s="346"/>
    </row>
    <row r="54" spans="11:18" ht="24.75" customHeight="1">
      <c r="K54" s="349"/>
      <c r="L54" s="363" t="s">
        <v>409</v>
      </c>
      <c r="M54" s="355">
        <f>'07'!I11</f>
        <v>2556464460</v>
      </c>
      <c r="N54" s="355" t="s">
        <v>383</v>
      </c>
      <c r="O54" s="361">
        <f>'07'!I11/'07'!H11</f>
        <v>0.6131850546557535</v>
      </c>
      <c r="P54" s="346"/>
      <c r="R54" s="346"/>
    </row>
    <row r="55" spans="11:18" ht="24.75" customHeight="1">
      <c r="K55" s="349"/>
      <c r="L55" s="363" t="s">
        <v>410</v>
      </c>
      <c r="M55" s="355">
        <f>'07'!R11</f>
        <v>1612692046</v>
      </c>
      <c r="N55" s="355" t="s">
        <v>383</v>
      </c>
      <c r="O55" s="361">
        <f>'07'!R11/'07'!H11</f>
        <v>0.3868149453442466</v>
      </c>
      <c r="P55" s="346"/>
      <c r="R55" s="346"/>
    </row>
    <row r="56" spans="11:18" ht="24.75" customHeight="1">
      <c r="K56" s="349"/>
      <c r="L56" s="363" t="s">
        <v>411</v>
      </c>
      <c r="M56" s="355">
        <f>'07'!J11+'07'!K11+'07'!L11</f>
        <v>80749912</v>
      </c>
      <c r="N56" s="355" t="s">
        <v>383</v>
      </c>
      <c r="O56" s="361">
        <f>M56/'07'!H11</f>
        <v>0.019368405067977077</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-0.021528064680038258</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72506321</v>
      </c>
      <c r="N63" s="355" t="s">
        <v>384</v>
      </c>
      <c r="O63" s="361">
        <f>'07'!J11/'07'!I11</f>
        <v>0.02836195148983217</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0.014118450170018516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4088406594</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4040279783.638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83.9507075837323</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851" t="s">
        <v>432</v>
      </c>
      <c r="B2" s="851"/>
    </row>
    <row r="3" spans="1:2" ht="22.5" customHeight="1">
      <c r="A3" s="380" t="s">
        <v>420</v>
      </c>
      <c r="B3" s="384" t="s">
        <v>595</v>
      </c>
    </row>
    <row r="4" spans="1:2" ht="22.5" customHeight="1">
      <c r="A4" s="380" t="s">
        <v>419</v>
      </c>
      <c r="B4" s="381" t="s">
        <v>540</v>
      </c>
    </row>
    <row r="5" spans="1:2" ht="22.5" customHeight="1">
      <c r="A5" s="380" t="s">
        <v>421</v>
      </c>
      <c r="B5" s="383" t="s">
        <v>539</v>
      </c>
    </row>
    <row r="6" spans="1:2" ht="22.5" customHeight="1">
      <c r="A6" s="380" t="s">
        <v>422</v>
      </c>
      <c r="B6" s="383" t="s">
        <v>434</v>
      </c>
    </row>
    <row r="7" spans="1:2" ht="34.5" customHeight="1">
      <c r="A7" s="380" t="s">
        <v>423</v>
      </c>
      <c r="B7" s="388" t="s">
        <v>541</v>
      </c>
    </row>
    <row r="8" spans="1:2" ht="15.75">
      <c r="A8" s="382" t="s">
        <v>424</v>
      </c>
      <c r="B8" s="389" t="s">
        <v>596</v>
      </c>
    </row>
    <row r="10" spans="1:2" ht="62.25" customHeight="1">
      <c r="A10" s="852" t="s">
        <v>433</v>
      </c>
      <c r="B10" s="852"/>
    </row>
    <row r="11" spans="1:2" ht="15.75">
      <c r="A11" s="853" t="s">
        <v>431</v>
      </c>
      <c r="B11" s="853"/>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22"/>
  <sheetViews>
    <sheetView showZeros="0" tabSelected="1" view="pageBreakPreview" zoomScaleSheetLayoutView="100" zoomScalePageLayoutView="0" workbookViewId="0" topLeftCell="A118">
      <selection activeCell="A121" sqref="A121:S121"/>
    </sheetView>
  </sheetViews>
  <sheetFormatPr defaultColWidth="9.00390625" defaultRowHeight="15.75"/>
  <cols>
    <col min="1" max="1" width="5.125" style="396" customWidth="1"/>
    <col min="2" max="2" width="20.375" style="385" customWidth="1"/>
    <col min="3" max="3" width="9.625" style="391" customWidth="1"/>
    <col min="4" max="5" width="7.375" style="23" customWidth="1"/>
    <col min="6" max="6" width="6.50390625" style="23" customWidth="1"/>
    <col min="7" max="7" width="6.75390625" style="23" customWidth="1"/>
    <col min="8" max="8" width="8.875" style="391" customWidth="1"/>
    <col min="9" max="9" width="7.875" style="391"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391" customWidth="1"/>
    <col min="18" max="18" width="8.75390625" style="391" customWidth="1"/>
    <col min="19" max="19" width="8.625" style="23" customWidth="1"/>
    <col min="20" max="20" width="9.00390625" style="390" customWidth="1"/>
    <col min="21" max="21" width="9.00390625" style="393" customWidth="1"/>
    <col min="22" max="16384" width="9.00390625" style="23" customWidth="1"/>
  </cols>
  <sheetData>
    <row r="1" spans="1:20" ht="20.25" customHeight="1">
      <c r="A1" s="403" t="s">
        <v>27</v>
      </c>
      <c r="B1" s="403"/>
      <c r="C1" s="459"/>
      <c r="D1" s="460"/>
      <c r="E1" s="866" t="s">
        <v>64</v>
      </c>
      <c r="F1" s="866"/>
      <c r="G1" s="866"/>
      <c r="H1" s="866"/>
      <c r="I1" s="866"/>
      <c r="J1" s="866"/>
      <c r="K1" s="866"/>
      <c r="L1" s="866"/>
      <c r="M1" s="866"/>
      <c r="N1" s="866"/>
      <c r="O1" s="866"/>
      <c r="P1" s="461" t="s">
        <v>426</v>
      </c>
      <c r="Q1" s="461"/>
      <c r="R1" s="461"/>
      <c r="S1" s="461"/>
      <c r="T1" s="462"/>
    </row>
    <row r="2" spans="1:20" ht="17.25" customHeight="1">
      <c r="A2" s="872" t="s">
        <v>238</v>
      </c>
      <c r="B2" s="872"/>
      <c r="C2" s="872"/>
      <c r="D2" s="872"/>
      <c r="E2" s="867" t="s">
        <v>34</v>
      </c>
      <c r="F2" s="867"/>
      <c r="G2" s="867"/>
      <c r="H2" s="867"/>
      <c r="I2" s="867"/>
      <c r="J2" s="867"/>
      <c r="K2" s="867"/>
      <c r="L2" s="867"/>
      <c r="M2" s="867"/>
      <c r="N2" s="867"/>
      <c r="O2" s="867"/>
      <c r="P2" s="873" t="str">
        <f>'[8]Thong tin'!B4</f>
        <v>CTHADS Hải Phòng</v>
      </c>
      <c r="Q2" s="873"/>
      <c r="R2" s="873"/>
      <c r="S2" s="873"/>
      <c r="T2" s="462"/>
    </row>
    <row r="3" spans="1:20" ht="19.5" customHeight="1">
      <c r="A3" s="872" t="s">
        <v>239</v>
      </c>
      <c r="B3" s="872"/>
      <c r="C3" s="872"/>
      <c r="D3" s="872"/>
      <c r="E3" s="868" t="s">
        <v>597</v>
      </c>
      <c r="F3" s="868"/>
      <c r="G3" s="868"/>
      <c r="H3" s="868"/>
      <c r="I3" s="868"/>
      <c r="J3" s="868"/>
      <c r="K3" s="868"/>
      <c r="L3" s="868"/>
      <c r="M3" s="868"/>
      <c r="N3" s="868"/>
      <c r="O3" s="868"/>
      <c r="P3" s="461" t="s">
        <v>537</v>
      </c>
      <c r="Q3" s="459"/>
      <c r="R3" s="461"/>
      <c r="S3" s="461"/>
      <c r="T3" s="462"/>
    </row>
    <row r="4" spans="1:20" ht="14.25" customHeight="1">
      <c r="A4" s="407" t="s">
        <v>117</v>
      </c>
      <c r="B4" s="403"/>
      <c r="C4" s="459"/>
      <c r="D4" s="459"/>
      <c r="E4" s="459"/>
      <c r="F4" s="459"/>
      <c r="G4" s="459"/>
      <c r="H4" s="459"/>
      <c r="I4" s="459"/>
      <c r="J4" s="459"/>
      <c r="K4" s="459"/>
      <c r="L4" s="459"/>
      <c r="M4" s="459"/>
      <c r="N4" s="463"/>
      <c r="O4" s="463"/>
      <c r="P4" s="862" t="s">
        <v>301</v>
      </c>
      <c r="Q4" s="862"/>
      <c r="R4" s="862"/>
      <c r="S4" s="862"/>
      <c r="T4" s="462"/>
    </row>
    <row r="5" spans="1:20" ht="21.75" customHeight="1">
      <c r="A5" s="403"/>
      <c r="B5" s="403"/>
      <c r="C5" s="460"/>
      <c r="D5" s="460"/>
      <c r="E5" s="460"/>
      <c r="F5" s="460"/>
      <c r="G5" s="460"/>
      <c r="H5" s="460"/>
      <c r="I5" s="460"/>
      <c r="J5" s="460"/>
      <c r="K5" s="460"/>
      <c r="L5" s="460"/>
      <c r="M5" s="460"/>
      <c r="N5" s="460"/>
      <c r="O5" s="460"/>
      <c r="P5" s="460"/>
      <c r="Q5" s="464" t="s">
        <v>237</v>
      </c>
      <c r="R5" s="465"/>
      <c r="S5" s="465"/>
      <c r="T5" s="462"/>
    </row>
    <row r="6" spans="1:20" ht="19.5" customHeight="1">
      <c r="A6" s="874" t="s">
        <v>55</v>
      </c>
      <c r="B6" s="875"/>
      <c r="C6" s="859" t="s">
        <v>118</v>
      </c>
      <c r="D6" s="859"/>
      <c r="E6" s="859"/>
      <c r="F6" s="863" t="s">
        <v>99</v>
      </c>
      <c r="G6" s="863" t="s">
        <v>119</v>
      </c>
      <c r="H6" s="869" t="s">
        <v>100</v>
      </c>
      <c r="I6" s="869"/>
      <c r="J6" s="869"/>
      <c r="K6" s="869"/>
      <c r="L6" s="869"/>
      <c r="M6" s="869"/>
      <c r="N6" s="869"/>
      <c r="O6" s="869"/>
      <c r="P6" s="869"/>
      <c r="Q6" s="869"/>
      <c r="R6" s="859" t="s">
        <v>243</v>
      </c>
      <c r="S6" s="859" t="s">
        <v>428</v>
      </c>
      <c r="T6" s="462"/>
    </row>
    <row r="7" spans="1:21" s="378" customFormat="1" ht="27" customHeight="1">
      <c r="A7" s="876"/>
      <c r="B7" s="877"/>
      <c r="C7" s="859" t="s">
        <v>42</v>
      </c>
      <c r="D7" s="859" t="s">
        <v>7</v>
      </c>
      <c r="E7" s="859"/>
      <c r="F7" s="863"/>
      <c r="G7" s="863"/>
      <c r="H7" s="863" t="s">
        <v>100</v>
      </c>
      <c r="I7" s="859" t="s">
        <v>101</v>
      </c>
      <c r="J7" s="859"/>
      <c r="K7" s="859"/>
      <c r="L7" s="859"/>
      <c r="M7" s="859"/>
      <c r="N7" s="859"/>
      <c r="O7" s="859"/>
      <c r="P7" s="859"/>
      <c r="Q7" s="863" t="s">
        <v>110</v>
      </c>
      <c r="R7" s="859"/>
      <c r="S7" s="859"/>
      <c r="T7" s="466"/>
      <c r="U7" s="394"/>
    </row>
    <row r="8" spans="1:20" ht="21.75" customHeight="1">
      <c r="A8" s="876"/>
      <c r="B8" s="877"/>
      <c r="C8" s="859"/>
      <c r="D8" s="859" t="s">
        <v>121</v>
      </c>
      <c r="E8" s="859" t="s">
        <v>122</v>
      </c>
      <c r="F8" s="863"/>
      <c r="G8" s="863"/>
      <c r="H8" s="863"/>
      <c r="I8" s="863" t="s">
        <v>427</v>
      </c>
      <c r="J8" s="859" t="s">
        <v>7</v>
      </c>
      <c r="K8" s="859"/>
      <c r="L8" s="859"/>
      <c r="M8" s="859"/>
      <c r="N8" s="859"/>
      <c r="O8" s="859"/>
      <c r="P8" s="859"/>
      <c r="Q8" s="863"/>
      <c r="R8" s="859"/>
      <c r="S8" s="859"/>
      <c r="T8" s="462"/>
    </row>
    <row r="9" spans="1:20" ht="84" customHeight="1">
      <c r="A9" s="878"/>
      <c r="B9" s="879"/>
      <c r="C9" s="859"/>
      <c r="D9" s="859"/>
      <c r="E9" s="859"/>
      <c r="F9" s="863"/>
      <c r="G9" s="863"/>
      <c r="H9" s="863"/>
      <c r="I9" s="863"/>
      <c r="J9" s="467" t="s">
        <v>123</v>
      </c>
      <c r="K9" s="467" t="s">
        <v>124</v>
      </c>
      <c r="L9" s="468" t="s">
        <v>103</v>
      </c>
      <c r="M9" s="468" t="s">
        <v>125</v>
      </c>
      <c r="N9" s="468" t="s">
        <v>106</v>
      </c>
      <c r="O9" s="468" t="s">
        <v>244</v>
      </c>
      <c r="P9" s="468" t="s">
        <v>109</v>
      </c>
      <c r="Q9" s="863"/>
      <c r="R9" s="859"/>
      <c r="S9" s="859"/>
      <c r="T9" s="462"/>
    </row>
    <row r="10" spans="1:20" ht="22.5" customHeight="1">
      <c r="A10" s="860" t="s">
        <v>6</v>
      </c>
      <c r="B10" s="861"/>
      <c r="C10" s="469">
        <v>1</v>
      </c>
      <c r="D10" s="469">
        <v>2</v>
      </c>
      <c r="E10" s="469">
        <v>3</v>
      </c>
      <c r="F10" s="469">
        <v>4</v>
      </c>
      <c r="G10" s="469">
        <v>5</v>
      </c>
      <c r="H10" s="469">
        <v>6</v>
      </c>
      <c r="I10" s="469">
        <v>7</v>
      </c>
      <c r="J10" s="469">
        <v>8</v>
      </c>
      <c r="K10" s="469">
        <v>9</v>
      </c>
      <c r="L10" s="469">
        <v>10</v>
      </c>
      <c r="M10" s="469">
        <v>11</v>
      </c>
      <c r="N10" s="469">
        <v>12</v>
      </c>
      <c r="O10" s="469">
        <v>13</v>
      </c>
      <c r="P10" s="469">
        <v>14</v>
      </c>
      <c r="Q10" s="469">
        <v>15</v>
      </c>
      <c r="R10" s="469">
        <v>16</v>
      </c>
      <c r="S10" s="470">
        <v>17</v>
      </c>
      <c r="T10" s="462"/>
    </row>
    <row r="11" spans="1:21" s="387" customFormat="1" ht="25.5" customHeight="1">
      <c r="A11" s="864" t="s">
        <v>30</v>
      </c>
      <c r="B11" s="865"/>
      <c r="C11" s="517">
        <f>C12+C31</f>
        <v>10046</v>
      </c>
      <c r="D11" s="517">
        <f aca="true" t="shared" si="0" ref="D11:R11">D12+D31</f>
        <v>8097</v>
      </c>
      <c r="E11" s="517">
        <f t="shared" si="0"/>
        <v>1949</v>
      </c>
      <c r="F11" s="517">
        <f t="shared" si="0"/>
        <v>18</v>
      </c>
      <c r="G11" s="517">
        <f t="shared" si="0"/>
        <v>2</v>
      </c>
      <c r="H11" s="517">
        <f t="shared" si="0"/>
        <v>10028</v>
      </c>
      <c r="I11" s="517">
        <f t="shared" si="0"/>
        <v>4285</v>
      </c>
      <c r="J11" s="517">
        <f t="shared" si="0"/>
        <v>1048</v>
      </c>
      <c r="K11" s="517">
        <f t="shared" si="0"/>
        <v>42</v>
      </c>
      <c r="L11" s="517">
        <f t="shared" si="0"/>
        <v>3167</v>
      </c>
      <c r="M11" s="517">
        <f t="shared" si="0"/>
        <v>7</v>
      </c>
      <c r="N11" s="517">
        <f t="shared" si="0"/>
        <v>5</v>
      </c>
      <c r="O11" s="517">
        <f t="shared" si="0"/>
        <v>0</v>
      </c>
      <c r="P11" s="517">
        <f t="shared" si="0"/>
        <v>16</v>
      </c>
      <c r="Q11" s="517">
        <f t="shared" si="0"/>
        <v>5743</v>
      </c>
      <c r="R11" s="517">
        <f t="shared" si="0"/>
        <v>8938</v>
      </c>
      <c r="S11" s="519">
        <f aca="true" t="shared" si="1" ref="S11:S76">(J11+K11)/I11*100</f>
        <v>25.437572928821474</v>
      </c>
      <c r="T11" s="529">
        <f>C11-F11-H11</f>
        <v>0</v>
      </c>
      <c r="U11" s="395"/>
    </row>
    <row r="12" spans="1:21" s="387" customFormat="1" ht="25.5" customHeight="1">
      <c r="A12" s="530" t="s">
        <v>0</v>
      </c>
      <c r="B12" s="531" t="s">
        <v>78</v>
      </c>
      <c r="C12" s="517">
        <f>SUM(C13:C30)</f>
        <v>281</v>
      </c>
      <c r="D12" s="517">
        <f aca="true" t="shared" si="2" ref="D12:Q12">SUM(D13:D30)</f>
        <v>193</v>
      </c>
      <c r="E12" s="517">
        <f t="shared" si="2"/>
        <v>88</v>
      </c>
      <c r="F12" s="517">
        <f t="shared" si="2"/>
        <v>1</v>
      </c>
      <c r="G12" s="517">
        <f t="shared" si="2"/>
        <v>0</v>
      </c>
      <c r="H12" s="517">
        <f t="shared" si="2"/>
        <v>280</v>
      </c>
      <c r="I12" s="517">
        <f t="shared" si="2"/>
        <v>240</v>
      </c>
      <c r="J12" s="517">
        <f t="shared" si="2"/>
        <v>23</v>
      </c>
      <c r="K12" s="517">
        <f t="shared" si="2"/>
        <v>0</v>
      </c>
      <c r="L12" s="517">
        <f t="shared" si="2"/>
        <v>215</v>
      </c>
      <c r="M12" s="517">
        <f t="shared" si="2"/>
        <v>0</v>
      </c>
      <c r="N12" s="517">
        <f t="shared" si="2"/>
        <v>2</v>
      </c>
      <c r="O12" s="517">
        <f t="shared" si="2"/>
        <v>0</v>
      </c>
      <c r="P12" s="517">
        <f t="shared" si="2"/>
        <v>0</v>
      </c>
      <c r="Q12" s="517">
        <f t="shared" si="2"/>
        <v>40</v>
      </c>
      <c r="R12" s="518">
        <f aca="true" t="shared" si="3" ref="R12:R76">SUM(L12:Q12)</f>
        <v>257</v>
      </c>
      <c r="S12" s="519">
        <f t="shared" si="1"/>
        <v>9.583333333333334</v>
      </c>
      <c r="T12" s="529"/>
      <c r="U12" s="395"/>
    </row>
    <row r="13" spans="1:20" ht="25.5" customHeight="1">
      <c r="A13" s="474" t="s">
        <v>45</v>
      </c>
      <c r="B13" s="474" t="s">
        <v>435</v>
      </c>
      <c r="C13" s="521">
        <f>D13+E13</f>
        <v>1</v>
      </c>
      <c r="D13" s="522">
        <v>1</v>
      </c>
      <c r="E13" s="521">
        <v>0</v>
      </c>
      <c r="F13" s="521">
        <v>0</v>
      </c>
      <c r="G13" s="521"/>
      <c r="H13" s="521">
        <f aca="true" t="shared" si="4" ref="H13:H30">I13+Q13</f>
        <v>1</v>
      </c>
      <c r="I13" s="521">
        <f>SUM(J13:P13)</f>
        <v>1</v>
      </c>
      <c r="J13" s="521">
        <v>0</v>
      </c>
      <c r="K13" s="521">
        <v>0</v>
      </c>
      <c r="L13" s="521">
        <v>1</v>
      </c>
      <c r="M13" s="521"/>
      <c r="N13" s="521"/>
      <c r="O13" s="521"/>
      <c r="P13" s="521"/>
      <c r="Q13" s="521"/>
      <c r="R13" s="521">
        <f aca="true" t="shared" si="5" ref="R13:R30">SUM(L13:Q13)</f>
        <v>1</v>
      </c>
      <c r="S13" s="520">
        <f>(J13+K13)/H13*100</f>
        <v>0</v>
      </c>
      <c r="T13" s="471"/>
    </row>
    <row r="14" spans="1:20" ht="25.5" customHeight="1">
      <c r="A14" s="474" t="s">
        <v>46</v>
      </c>
      <c r="B14" s="474" t="s">
        <v>436</v>
      </c>
      <c r="C14" s="521">
        <f aca="true" t="shared" si="6" ref="C14:C30">D14+E14</f>
        <v>2</v>
      </c>
      <c r="D14" s="522">
        <v>2</v>
      </c>
      <c r="E14" s="521">
        <v>0</v>
      </c>
      <c r="F14" s="521">
        <v>0</v>
      </c>
      <c r="G14" s="521"/>
      <c r="H14" s="521">
        <f t="shared" si="4"/>
        <v>2</v>
      </c>
      <c r="I14" s="521">
        <f>SUM(J14:P14)</f>
        <v>2</v>
      </c>
      <c r="J14" s="521">
        <v>0</v>
      </c>
      <c r="K14" s="521">
        <v>0</v>
      </c>
      <c r="L14" s="521">
        <v>2</v>
      </c>
      <c r="M14" s="521"/>
      <c r="N14" s="521"/>
      <c r="O14" s="521"/>
      <c r="P14" s="521"/>
      <c r="Q14" s="521"/>
      <c r="R14" s="521">
        <f t="shared" si="5"/>
        <v>2</v>
      </c>
      <c r="S14" s="520">
        <f t="shared" si="1"/>
        <v>0</v>
      </c>
      <c r="T14" s="471"/>
    </row>
    <row r="15" spans="1:20" ht="25.5" customHeight="1">
      <c r="A15" s="474" t="s">
        <v>102</v>
      </c>
      <c r="B15" s="474" t="s">
        <v>434</v>
      </c>
      <c r="C15" s="521">
        <f t="shared" si="6"/>
        <v>0</v>
      </c>
      <c r="D15" s="522">
        <v>0</v>
      </c>
      <c r="E15" s="521">
        <v>0</v>
      </c>
      <c r="F15" s="521">
        <v>0</v>
      </c>
      <c r="G15" s="521"/>
      <c r="H15" s="521">
        <f t="shared" si="4"/>
        <v>0</v>
      </c>
      <c r="I15" s="521">
        <f aca="true" t="shared" si="7" ref="I15:I30">SUM(J15:P15)</f>
        <v>0</v>
      </c>
      <c r="J15" s="521">
        <v>0</v>
      </c>
      <c r="K15" s="521">
        <v>0</v>
      </c>
      <c r="L15" s="521">
        <v>0</v>
      </c>
      <c r="M15" s="521"/>
      <c r="N15" s="521"/>
      <c r="O15" s="521"/>
      <c r="P15" s="521"/>
      <c r="Q15" s="521"/>
      <c r="R15" s="521">
        <f t="shared" si="5"/>
        <v>0</v>
      </c>
      <c r="S15" s="520" t="e">
        <f t="shared" si="1"/>
        <v>#DIV/0!</v>
      </c>
      <c r="T15" s="471">
        <f aca="true" t="shared" si="8" ref="T15:T75">H15-I15-Q15</f>
        <v>0</v>
      </c>
    </row>
    <row r="16" spans="1:20" ht="25.5" customHeight="1">
      <c r="A16" s="474" t="s">
        <v>104</v>
      </c>
      <c r="B16" s="474" t="s">
        <v>530</v>
      </c>
      <c r="C16" s="521">
        <f t="shared" si="6"/>
        <v>8</v>
      </c>
      <c r="D16" s="522">
        <v>7</v>
      </c>
      <c r="E16" s="521">
        <v>1</v>
      </c>
      <c r="F16" s="521">
        <v>0</v>
      </c>
      <c r="G16" s="521"/>
      <c r="H16" s="521">
        <f t="shared" si="4"/>
        <v>8</v>
      </c>
      <c r="I16" s="521">
        <f t="shared" si="7"/>
        <v>8</v>
      </c>
      <c r="J16" s="521">
        <v>1</v>
      </c>
      <c r="K16" s="521">
        <v>0</v>
      </c>
      <c r="L16" s="521">
        <v>5</v>
      </c>
      <c r="M16" s="521"/>
      <c r="N16" s="521">
        <v>2</v>
      </c>
      <c r="O16" s="521"/>
      <c r="P16" s="521"/>
      <c r="Q16" s="521"/>
      <c r="R16" s="521">
        <f t="shared" si="5"/>
        <v>7</v>
      </c>
      <c r="S16" s="520">
        <f t="shared" si="1"/>
        <v>12.5</v>
      </c>
      <c r="T16" s="471">
        <f t="shared" si="8"/>
        <v>0</v>
      </c>
    </row>
    <row r="17" spans="1:20" ht="25.5" customHeight="1">
      <c r="A17" s="474" t="s">
        <v>105</v>
      </c>
      <c r="B17" s="474" t="s">
        <v>437</v>
      </c>
      <c r="C17" s="521">
        <f t="shared" si="6"/>
        <v>19</v>
      </c>
      <c r="D17" s="522">
        <v>15</v>
      </c>
      <c r="E17" s="521">
        <v>4</v>
      </c>
      <c r="F17" s="521">
        <v>0</v>
      </c>
      <c r="G17" s="521"/>
      <c r="H17" s="521">
        <f t="shared" si="4"/>
        <v>19</v>
      </c>
      <c r="I17" s="521">
        <f t="shared" si="7"/>
        <v>16</v>
      </c>
      <c r="J17" s="521">
        <v>3</v>
      </c>
      <c r="K17" s="521">
        <v>0</v>
      </c>
      <c r="L17" s="521">
        <v>13</v>
      </c>
      <c r="M17" s="521"/>
      <c r="N17" s="521"/>
      <c r="O17" s="521"/>
      <c r="P17" s="521"/>
      <c r="Q17" s="521">
        <v>3</v>
      </c>
      <c r="R17" s="521">
        <f t="shared" si="5"/>
        <v>16</v>
      </c>
      <c r="S17" s="520">
        <f t="shared" si="1"/>
        <v>18.75</v>
      </c>
      <c r="T17" s="471">
        <f t="shared" si="8"/>
        <v>0</v>
      </c>
    </row>
    <row r="18" spans="1:20" ht="25.5" customHeight="1">
      <c r="A18" s="474" t="s">
        <v>107</v>
      </c>
      <c r="B18" s="474" t="s">
        <v>438</v>
      </c>
      <c r="C18" s="521">
        <f t="shared" si="6"/>
        <v>13</v>
      </c>
      <c r="D18" s="522">
        <v>13</v>
      </c>
      <c r="E18" s="521">
        <v>0</v>
      </c>
      <c r="F18" s="521">
        <v>0</v>
      </c>
      <c r="G18" s="521"/>
      <c r="H18" s="521">
        <f t="shared" si="4"/>
        <v>13</v>
      </c>
      <c r="I18" s="521">
        <f t="shared" si="7"/>
        <v>8</v>
      </c>
      <c r="J18" s="521">
        <v>0</v>
      </c>
      <c r="K18" s="521">
        <v>0</v>
      </c>
      <c r="L18" s="534">
        <v>8</v>
      </c>
      <c r="M18" s="534"/>
      <c r="N18" s="535"/>
      <c r="O18" s="535"/>
      <c r="P18" s="535"/>
      <c r="Q18" s="535">
        <v>5</v>
      </c>
      <c r="R18" s="521">
        <f t="shared" si="5"/>
        <v>13</v>
      </c>
      <c r="S18" s="520">
        <f t="shared" si="1"/>
        <v>0</v>
      </c>
      <c r="T18" s="471">
        <f t="shared" si="8"/>
        <v>0</v>
      </c>
    </row>
    <row r="19" spans="1:20" ht="25.5" customHeight="1">
      <c r="A19" s="474" t="s">
        <v>108</v>
      </c>
      <c r="B19" s="474" t="s">
        <v>439</v>
      </c>
      <c r="C19" s="521">
        <f t="shared" si="6"/>
        <v>11</v>
      </c>
      <c r="D19" s="522">
        <v>11</v>
      </c>
      <c r="E19" s="521">
        <v>0</v>
      </c>
      <c r="F19" s="521">
        <v>0</v>
      </c>
      <c r="G19" s="535"/>
      <c r="H19" s="521">
        <f>I19+Q19</f>
        <v>11</v>
      </c>
      <c r="I19" s="521">
        <f t="shared" si="7"/>
        <v>9</v>
      </c>
      <c r="J19" s="521">
        <v>0</v>
      </c>
      <c r="K19" s="521">
        <v>0</v>
      </c>
      <c r="L19" s="535">
        <v>9</v>
      </c>
      <c r="M19" s="535"/>
      <c r="N19" s="534"/>
      <c r="O19" s="535"/>
      <c r="P19" s="535"/>
      <c r="Q19" s="535">
        <v>2</v>
      </c>
      <c r="R19" s="521">
        <f t="shared" si="5"/>
        <v>11</v>
      </c>
      <c r="S19" s="520">
        <f t="shared" si="1"/>
        <v>0</v>
      </c>
      <c r="T19" s="471">
        <f t="shared" si="8"/>
        <v>0</v>
      </c>
    </row>
    <row r="20" spans="1:20" ht="25.5" customHeight="1">
      <c r="A20" s="474" t="s">
        <v>115</v>
      </c>
      <c r="B20" s="474" t="s">
        <v>440</v>
      </c>
      <c r="C20" s="521">
        <f t="shared" si="6"/>
        <v>14</v>
      </c>
      <c r="D20" s="522">
        <v>6</v>
      </c>
      <c r="E20" s="521">
        <v>8</v>
      </c>
      <c r="F20" s="521">
        <v>0</v>
      </c>
      <c r="G20" s="535"/>
      <c r="H20" s="521">
        <f t="shared" si="4"/>
        <v>14</v>
      </c>
      <c r="I20" s="521">
        <f t="shared" si="7"/>
        <v>13</v>
      </c>
      <c r="J20" s="521">
        <v>1</v>
      </c>
      <c r="K20" s="521">
        <v>0</v>
      </c>
      <c r="L20" s="535">
        <v>12</v>
      </c>
      <c r="M20" s="535"/>
      <c r="N20" s="534"/>
      <c r="O20" s="535"/>
      <c r="P20" s="535"/>
      <c r="Q20" s="535">
        <v>1</v>
      </c>
      <c r="R20" s="521">
        <f t="shared" si="5"/>
        <v>13</v>
      </c>
      <c r="S20" s="520">
        <f t="shared" si="1"/>
        <v>7.6923076923076925</v>
      </c>
      <c r="T20" s="471">
        <f t="shared" si="8"/>
        <v>0</v>
      </c>
    </row>
    <row r="21" spans="1:20" ht="25.5" customHeight="1">
      <c r="A21" s="474" t="s">
        <v>425</v>
      </c>
      <c r="B21" s="474" t="s">
        <v>442</v>
      </c>
      <c r="C21" s="521">
        <f t="shared" si="6"/>
        <v>28</v>
      </c>
      <c r="D21" s="522">
        <v>19</v>
      </c>
      <c r="E21" s="521">
        <v>9</v>
      </c>
      <c r="F21" s="521">
        <v>0</v>
      </c>
      <c r="G21" s="535"/>
      <c r="H21" s="521">
        <f t="shared" si="4"/>
        <v>28</v>
      </c>
      <c r="I21" s="521">
        <f t="shared" si="7"/>
        <v>28</v>
      </c>
      <c r="J21" s="521">
        <v>0</v>
      </c>
      <c r="K21" s="521">
        <v>0</v>
      </c>
      <c r="L21" s="535">
        <v>28</v>
      </c>
      <c r="M21" s="535"/>
      <c r="N21" s="534"/>
      <c r="O21" s="535"/>
      <c r="P21" s="535"/>
      <c r="Q21" s="535"/>
      <c r="R21" s="521">
        <f t="shared" si="5"/>
        <v>28</v>
      </c>
      <c r="S21" s="520">
        <f t="shared" si="1"/>
        <v>0</v>
      </c>
      <c r="T21" s="471">
        <f t="shared" si="8"/>
        <v>0</v>
      </c>
    </row>
    <row r="22" spans="1:20" ht="25.5" customHeight="1">
      <c r="A22" s="474" t="s">
        <v>441</v>
      </c>
      <c r="B22" s="474" t="s">
        <v>444</v>
      </c>
      <c r="C22" s="521">
        <f t="shared" si="6"/>
        <v>12</v>
      </c>
      <c r="D22" s="522">
        <v>11</v>
      </c>
      <c r="E22" s="521">
        <v>1</v>
      </c>
      <c r="F22" s="521">
        <v>0</v>
      </c>
      <c r="G22" s="535"/>
      <c r="H22" s="521">
        <f t="shared" si="4"/>
        <v>12</v>
      </c>
      <c r="I22" s="521">
        <f t="shared" si="7"/>
        <v>12</v>
      </c>
      <c r="J22" s="521">
        <v>0</v>
      </c>
      <c r="K22" s="521">
        <v>0</v>
      </c>
      <c r="L22" s="535">
        <v>12</v>
      </c>
      <c r="M22" s="535"/>
      <c r="N22" s="534"/>
      <c r="O22" s="535"/>
      <c r="P22" s="535"/>
      <c r="Q22" s="535"/>
      <c r="R22" s="521">
        <f t="shared" si="5"/>
        <v>12</v>
      </c>
      <c r="S22" s="520">
        <f t="shared" si="1"/>
        <v>0</v>
      </c>
      <c r="T22" s="471">
        <f t="shared" si="8"/>
        <v>0</v>
      </c>
    </row>
    <row r="23" spans="1:20" ht="25.5" customHeight="1">
      <c r="A23" s="474" t="s">
        <v>443</v>
      </c>
      <c r="B23" s="474" t="s">
        <v>544</v>
      </c>
      <c r="C23" s="521">
        <f t="shared" si="6"/>
        <v>24</v>
      </c>
      <c r="D23" s="522">
        <f>14+2</f>
        <v>16</v>
      </c>
      <c r="E23" s="521">
        <v>8</v>
      </c>
      <c r="F23" s="521">
        <v>0</v>
      </c>
      <c r="G23" s="535"/>
      <c r="H23" s="521">
        <f t="shared" si="4"/>
        <v>24</v>
      </c>
      <c r="I23" s="521">
        <f t="shared" si="7"/>
        <v>20</v>
      </c>
      <c r="J23" s="521">
        <v>0</v>
      </c>
      <c r="K23" s="521">
        <v>0</v>
      </c>
      <c r="L23" s="535">
        <f>18+2</f>
        <v>20</v>
      </c>
      <c r="M23" s="535"/>
      <c r="N23" s="534"/>
      <c r="O23" s="535"/>
      <c r="P23" s="535"/>
      <c r="Q23" s="535">
        <f>1+3</f>
        <v>4</v>
      </c>
      <c r="R23" s="521">
        <f t="shared" si="5"/>
        <v>24</v>
      </c>
      <c r="S23" s="520">
        <f t="shared" si="1"/>
        <v>0</v>
      </c>
      <c r="T23" s="471">
        <f t="shared" si="8"/>
        <v>0</v>
      </c>
    </row>
    <row r="24" spans="1:20" ht="25.5" customHeight="1">
      <c r="A24" s="474" t="s">
        <v>445</v>
      </c>
      <c r="B24" s="474" t="s">
        <v>545</v>
      </c>
      <c r="C24" s="521">
        <f>D24+E24</f>
        <v>34</v>
      </c>
      <c r="D24" s="521">
        <v>28</v>
      </c>
      <c r="E24" s="521">
        <v>6</v>
      </c>
      <c r="F24" s="521">
        <v>0</v>
      </c>
      <c r="G24" s="521"/>
      <c r="H24" s="521">
        <f>I24+Q24</f>
        <v>34</v>
      </c>
      <c r="I24" s="521">
        <f>SUM(J24:P24)</f>
        <v>28</v>
      </c>
      <c r="J24" s="521">
        <v>0</v>
      </c>
      <c r="K24" s="521">
        <v>0</v>
      </c>
      <c r="L24" s="534">
        <v>28</v>
      </c>
      <c r="M24" s="534"/>
      <c r="N24" s="535"/>
      <c r="O24" s="535"/>
      <c r="P24" s="535"/>
      <c r="Q24" s="535">
        <v>6</v>
      </c>
      <c r="R24" s="521">
        <f t="shared" si="5"/>
        <v>34</v>
      </c>
      <c r="S24" s="520">
        <f t="shared" si="1"/>
        <v>0</v>
      </c>
      <c r="T24" s="471">
        <f t="shared" si="8"/>
        <v>0</v>
      </c>
    </row>
    <row r="25" spans="1:20" ht="25.5" customHeight="1">
      <c r="A25" s="474" t="s">
        <v>446</v>
      </c>
      <c r="B25" s="474" t="s">
        <v>448</v>
      </c>
      <c r="C25" s="521">
        <f>D25+E25</f>
        <v>19</v>
      </c>
      <c r="D25" s="521">
        <v>19</v>
      </c>
      <c r="E25" s="521">
        <v>0</v>
      </c>
      <c r="F25" s="521">
        <v>0</v>
      </c>
      <c r="G25" s="521"/>
      <c r="H25" s="521">
        <f>I25+Q25</f>
        <v>19</v>
      </c>
      <c r="I25" s="521">
        <f>SUM(J25:P25)</f>
        <v>14</v>
      </c>
      <c r="J25" s="521">
        <v>0</v>
      </c>
      <c r="K25" s="521">
        <v>0</v>
      </c>
      <c r="L25" s="534">
        <v>14</v>
      </c>
      <c r="M25" s="534"/>
      <c r="N25" s="535">
        <v>0</v>
      </c>
      <c r="O25" s="535"/>
      <c r="P25" s="535"/>
      <c r="Q25" s="535">
        <v>5</v>
      </c>
      <c r="R25" s="535">
        <f>H25-J25-K25</f>
        <v>19</v>
      </c>
      <c r="S25" s="520">
        <f t="shared" si="1"/>
        <v>0</v>
      </c>
      <c r="T25" s="471">
        <f t="shared" si="8"/>
        <v>0</v>
      </c>
    </row>
    <row r="26" spans="1:20" ht="25.5" customHeight="1">
      <c r="A26" s="474" t="s">
        <v>447</v>
      </c>
      <c r="B26" s="474" t="s">
        <v>450</v>
      </c>
      <c r="C26" s="521">
        <f t="shared" si="6"/>
        <v>11</v>
      </c>
      <c r="D26" s="522">
        <v>5</v>
      </c>
      <c r="E26" s="521">
        <v>6</v>
      </c>
      <c r="F26" s="521">
        <v>0</v>
      </c>
      <c r="G26" s="535"/>
      <c r="H26" s="521">
        <f t="shared" si="4"/>
        <v>11</v>
      </c>
      <c r="I26" s="521">
        <f t="shared" si="7"/>
        <v>8</v>
      </c>
      <c r="J26" s="521">
        <v>2</v>
      </c>
      <c r="K26" s="521">
        <v>0</v>
      </c>
      <c r="L26" s="535">
        <v>6</v>
      </c>
      <c r="M26" s="535">
        <v>0</v>
      </c>
      <c r="N26" s="534"/>
      <c r="O26" s="535"/>
      <c r="P26" s="535"/>
      <c r="Q26" s="535">
        <v>3</v>
      </c>
      <c r="R26" s="521">
        <f t="shared" si="5"/>
        <v>9</v>
      </c>
      <c r="S26" s="520">
        <f t="shared" si="1"/>
        <v>25</v>
      </c>
      <c r="T26" s="471">
        <f t="shared" si="8"/>
        <v>0</v>
      </c>
    </row>
    <row r="27" spans="1:20" ht="25.5" customHeight="1">
      <c r="A27" s="474" t="s">
        <v>449</v>
      </c>
      <c r="B27" s="474" t="s">
        <v>452</v>
      </c>
      <c r="C27" s="521">
        <f t="shared" si="6"/>
        <v>31</v>
      </c>
      <c r="D27" s="522">
        <v>19</v>
      </c>
      <c r="E27" s="521">
        <v>12</v>
      </c>
      <c r="F27" s="521">
        <v>0</v>
      </c>
      <c r="G27" s="536"/>
      <c r="H27" s="521">
        <f t="shared" si="4"/>
        <v>31</v>
      </c>
      <c r="I27" s="521">
        <f t="shared" si="7"/>
        <v>30</v>
      </c>
      <c r="J27" s="521">
        <v>2</v>
      </c>
      <c r="K27" s="521">
        <v>0</v>
      </c>
      <c r="L27" s="534">
        <v>28</v>
      </c>
      <c r="M27" s="534"/>
      <c r="N27" s="534"/>
      <c r="O27" s="535"/>
      <c r="P27" s="535"/>
      <c r="Q27" s="535">
        <v>1</v>
      </c>
      <c r="R27" s="521">
        <f t="shared" si="5"/>
        <v>29</v>
      </c>
      <c r="S27" s="520">
        <f t="shared" si="1"/>
        <v>6.666666666666667</v>
      </c>
      <c r="T27" s="471">
        <f t="shared" si="8"/>
        <v>0</v>
      </c>
    </row>
    <row r="28" spans="1:20" ht="25.5" customHeight="1">
      <c r="A28" s="474" t="s">
        <v>451</v>
      </c>
      <c r="B28" s="474" t="s">
        <v>454</v>
      </c>
      <c r="C28" s="521">
        <f t="shared" si="6"/>
        <v>15</v>
      </c>
      <c r="D28" s="521">
        <v>8</v>
      </c>
      <c r="E28" s="521">
        <v>7</v>
      </c>
      <c r="F28" s="521">
        <v>0</v>
      </c>
      <c r="G28" s="521"/>
      <c r="H28" s="521">
        <f t="shared" si="4"/>
        <v>15</v>
      </c>
      <c r="I28" s="521">
        <f t="shared" si="7"/>
        <v>11</v>
      </c>
      <c r="J28" s="521">
        <v>0</v>
      </c>
      <c r="K28" s="521">
        <v>0</v>
      </c>
      <c r="L28" s="534">
        <v>11</v>
      </c>
      <c r="M28" s="534"/>
      <c r="N28" s="534"/>
      <c r="O28" s="535"/>
      <c r="P28" s="535"/>
      <c r="Q28" s="535">
        <v>4</v>
      </c>
      <c r="R28" s="521">
        <f t="shared" si="5"/>
        <v>15</v>
      </c>
      <c r="S28" s="520">
        <f t="shared" si="1"/>
        <v>0</v>
      </c>
      <c r="T28" s="471">
        <f t="shared" si="8"/>
        <v>0</v>
      </c>
    </row>
    <row r="29" spans="1:20" ht="25.5" customHeight="1">
      <c r="A29" s="474" t="s">
        <v>453</v>
      </c>
      <c r="B29" s="474" t="s">
        <v>553</v>
      </c>
      <c r="C29" s="521">
        <f t="shared" si="6"/>
        <v>25</v>
      </c>
      <c r="D29" s="521">
        <v>6</v>
      </c>
      <c r="E29" s="521">
        <f>11+8</f>
        <v>19</v>
      </c>
      <c r="F29" s="521">
        <v>0</v>
      </c>
      <c r="G29" s="521">
        <v>0</v>
      </c>
      <c r="H29" s="521">
        <f t="shared" si="4"/>
        <v>25</v>
      </c>
      <c r="I29" s="521">
        <f t="shared" si="7"/>
        <v>25</v>
      </c>
      <c r="J29" s="521">
        <v>10</v>
      </c>
      <c r="K29" s="521">
        <v>0</v>
      </c>
      <c r="L29" s="534">
        <v>15</v>
      </c>
      <c r="M29" s="534"/>
      <c r="N29" s="534"/>
      <c r="O29" s="535"/>
      <c r="P29" s="535"/>
      <c r="Q29" s="535"/>
      <c r="R29" s="521">
        <f t="shared" si="5"/>
        <v>15</v>
      </c>
      <c r="S29" s="520">
        <f t="shared" si="1"/>
        <v>40</v>
      </c>
      <c r="T29" s="471">
        <f t="shared" si="8"/>
        <v>0</v>
      </c>
    </row>
    <row r="30" spans="1:21" s="387" customFormat="1" ht="25.5" customHeight="1">
      <c r="A30" s="474" t="s">
        <v>583</v>
      </c>
      <c r="B30" s="474" t="s">
        <v>546</v>
      </c>
      <c r="C30" s="521">
        <f t="shared" si="6"/>
        <v>14</v>
      </c>
      <c r="D30" s="521">
        <v>7</v>
      </c>
      <c r="E30" s="521">
        <v>7</v>
      </c>
      <c r="F30" s="521">
        <v>1</v>
      </c>
      <c r="G30" s="521"/>
      <c r="H30" s="521">
        <f t="shared" si="4"/>
        <v>13</v>
      </c>
      <c r="I30" s="521">
        <f t="shared" si="7"/>
        <v>7</v>
      </c>
      <c r="J30" s="521">
        <v>4</v>
      </c>
      <c r="K30" s="521">
        <v>0</v>
      </c>
      <c r="L30" s="534">
        <v>3</v>
      </c>
      <c r="M30" s="534"/>
      <c r="N30" s="534"/>
      <c r="O30" s="535"/>
      <c r="P30" s="535"/>
      <c r="Q30" s="535">
        <v>6</v>
      </c>
      <c r="R30" s="521">
        <f t="shared" si="5"/>
        <v>9</v>
      </c>
      <c r="S30" s="520">
        <f t="shared" si="1"/>
        <v>57.14285714285714</v>
      </c>
      <c r="T30" s="471">
        <f t="shared" si="8"/>
        <v>0</v>
      </c>
      <c r="U30" s="395"/>
    </row>
    <row r="31" spans="1:21" s="387" customFormat="1" ht="25.5" customHeight="1">
      <c r="A31" s="530" t="s">
        <v>1</v>
      </c>
      <c r="B31" s="531" t="s">
        <v>455</v>
      </c>
      <c r="C31" s="517">
        <f>C32+C38+C42+C45+C47+C55+C61+C68+C72+C76+C86+C89+C93+C104+C107</f>
        <v>9765</v>
      </c>
      <c r="D31" s="517">
        <f aca="true" t="shared" si="9" ref="D31:Q31">D32+D38+D42+D45+D47+D55+D61+D68+D72+D76+D86+D89+D93+D104+D107</f>
        <v>7904</v>
      </c>
      <c r="E31" s="517">
        <f t="shared" si="9"/>
        <v>1861</v>
      </c>
      <c r="F31" s="517">
        <f t="shared" si="9"/>
        <v>17</v>
      </c>
      <c r="G31" s="517">
        <f t="shared" si="9"/>
        <v>2</v>
      </c>
      <c r="H31" s="517">
        <f t="shared" si="9"/>
        <v>9748</v>
      </c>
      <c r="I31" s="517">
        <f t="shared" si="9"/>
        <v>4045</v>
      </c>
      <c r="J31" s="517">
        <f t="shared" si="9"/>
        <v>1025</v>
      </c>
      <c r="K31" s="517">
        <f t="shared" si="9"/>
        <v>42</v>
      </c>
      <c r="L31" s="517">
        <f t="shared" si="9"/>
        <v>2952</v>
      </c>
      <c r="M31" s="517">
        <f t="shared" si="9"/>
        <v>7</v>
      </c>
      <c r="N31" s="517">
        <f t="shared" si="9"/>
        <v>3</v>
      </c>
      <c r="O31" s="517">
        <f t="shared" si="9"/>
        <v>0</v>
      </c>
      <c r="P31" s="517">
        <f t="shared" si="9"/>
        <v>16</v>
      </c>
      <c r="Q31" s="517">
        <f t="shared" si="9"/>
        <v>5703</v>
      </c>
      <c r="R31" s="518">
        <f t="shared" si="3"/>
        <v>8681</v>
      </c>
      <c r="S31" s="519">
        <f t="shared" si="1"/>
        <v>26.378244746600743</v>
      </c>
      <c r="T31" s="529">
        <f t="shared" si="8"/>
        <v>0</v>
      </c>
      <c r="U31" s="395"/>
    </row>
    <row r="32" spans="1:21" s="387" customFormat="1" ht="25.5" customHeight="1">
      <c r="A32" s="530">
        <v>1</v>
      </c>
      <c r="B32" s="532" t="s">
        <v>456</v>
      </c>
      <c r="C32" s="517">
        <f>SUM(C33:C37)</f>
        <v>762</v>
      </c>
      <c r="D32" s="517">
        <f aca="true" t="shared" si="10" ref="D32:Q32">SUM(D33:D37)</f>
        <v>627</v>
      </c>
      <c r="E32" s="517">
        <f t="shared" si="10"/>
        <v>135</v>
      </c>
      <c r="F32" s="517">
        <f t="shared" si="10"/>
        <v>1</v>
      </c>
      <c r="G32" s="517">
        <f t="shared" si="10"/>
        <v>0</v>
      </c>
      <c r="H32" s="517">
        <f t="shared" si="10"/>
        <v>761</v>
      </c>
      <c r="I32" s="517">
        <f t="shared" si="10"/>
        <v>336</v>
      </c>
      <c r="J32" s="517">
        <f t="shared" si="10"/>
        <v>68</v>
      </c>
      <c r="K32" s="517">
        <f t="shared" si="10"/>
        <v>0</v>
      </c>
      <c r="L32" s="517">
        <f t="shared" si="10"/>
        <v>267</v>
      </c>
      <c r="M32" s="517">
        <f t="shared" si="10"/>
        <v>1</v>
      </c>
      <c r="N32" s="517">
        <f t="shared" si="10"/>
        <v>0</v>
      </c>
      <c r="O32" s="517">
        <f t="shared" si="10"/>
        <v>0</v>
      </c>
      <c r="P32" s="517">
        <f t="shared" si="10"/>
        <v>0</v>
      </c>
      <c r="Q32" s="517">
        <f t="shared" si="10"/>
        <v>425</v>
      </c>
      <c r="R32" s="518">
        <f t="shared" si="3"/>
        <v>693</v>
      </c>
      <c r="S32" s="519">
        <f t="shared" si="1"/>
        <v>20.238095238095237</v>
      </c>
      <c r="T32" s="529">
        <f t="shared" si="8"/>
        <v>0</v>
      </c>
      <c r="U32" s="395"/>
    </row>
    <row r="33" spans="1:21" s="387" customFormat="1" ht="25.5" customHeight="1">
      <c r="A33" s="472">
        <v>1.1</v>
      </c>
      <c r="B33" s="476" t="s">
        <v>577</v>
      </c>
      <c r="C33" s="521">
        <f>SUM(E33+D33)</f>
        <v>98</v>
      </c>
      <c r="D33" s="521">
        <v>75</v>
      </c>
      <c r="E33" s="521">
        <v>23</v>
      </c>
      <c r="F33" s="521">
        <v>0</v>
      </c>
      <c r="G33" s="521">
        <v>0</v>
      </c>
      <c r="H33" s="521">
        <f>SUM(Q33+I33)</f>
        <v>98</v>
      </c>
      <c r="I33" s="521">
        <f>SUM(K33+L33+M33+N33+O33+P33+J33)</f>
        <v>55</v>
      </c>
      <c r="J33" s="521">
        <v>17</v>
      </c>
      <c r="K33" s="521">
        <v>0</v>
      </c>
      <c r="L33" s="521">
        <v>38</v>
      </c>
      <c r="M33" s="521">
        <v>0</v>
      </c>
      <c r="N33" s="521">
        <v>0</v>
      </c>
      <c r="O33" s="521">
        <v>0</v>
      </c>
      <c r="P33" s="521">
        <v>0</v>
      </c>
      <c r="Q33" s="521">
        <v>43</v>
      </c>
      <c r="R33" s="523">
        <f t="shared" si="3"/>
        <v>81</v>
      </c>
      <c r="S33" s="520">
        <f t="shared" si="1"/>
        <v>30.909090909090907</v>
      </c>
      <c r="T33" s="471">
        <f t="shared" si="8"/>
        <v>0</v>
      </c>
      <c r="U33" s="395"/>
    </row>
    <row r="34" spans="1:21" s="387" customFormat="1" ht="25.5" customHeight="1">
      <c r="A34" s="472">
        <v>1.2</v>
      </c>
      <c r="B34" s="476" t="s">
        <v>547</v>
      </c>
      <c r="C34" s="521">
        <f>SUM(E34+D34)</f>
        <v>161</v>
      </c>
      <c r="D34" s="521">
        <v>135</v>
      </c>
      <c r="E34" s="521">
        <v>26</v>
      </c>
      <c r="F34" s="521">
        <v>0</v>
      </c>
      <c r="G34" s="521">
        <v>0</v>
      </c>
      <c r="H34" s="521">
        <f>SUM(Q34+I34)</f>
        <v>161</v>
      </c>
      <c r="I34" s="521">
        <f>SUM(K34+L34+M34+N34+O34+P34+J34)</f>
        <v>64</v>
      </c>
      <c r="J34" s="521">
        <v>12</v>
      </c>
      <c r="K34" s="521">
        <v>0</v>
      </c>
      <c r="L34" s="521">
        <v>51</v>
      </c>
      <c r="M34" s="521">
        <v>1</v>
      </c>
      <c r="N34" s="521">
        <v>0</v>
      </c>
      <c r="O34" s="521">
        <v>0</v>
      </c>
      <c r="P34" s="521">
        <v>0</v>
      </c>
      <c r="Q34" s="521">
        <v>97</v>
      </c>
      <c r="R34" s="523">
        <f t="shared" si="3"/>
        <v>149</v>
      </c>
      <c r="S34" s="520">
        <f t="shared" si="1"/>
        <v>18.75</v>
      </c>
      <c r="T34" s="471">
        <f t="shared" si="8"/>
        <v>0</v>
      </c>
      <c r="U34" s="395"/>
    </row>
    <row r="35" spans="1:21" s="387" customFormat="1" ht="25.5" customHeight="1">
      <c r="A35" s="472">
        <v>1.3</v>
      </c>
      <c r="B35" s="476" t="s">
        <v>457</v>
      </c>
      <c r="C35" s="521">
        <f>SUM(E35+D35)</f>
        <v>141</v>
      </c>
      <c r="D35" s="521">
        <v>112</v>
      </c>
      <c r="E35" s="521">
        <v>29</v>
      </c>
      <c r="F35" s="521">
        <v>0</v>
      </c>
      <c r="G35" s="521">
        <v>0</v>
      </c>
      <c r="H35" s="521">
        <f>SUM(Q35+I35)</f>
        <v>141</v>
      </c>
      <c r="I35" s="521">
        <f>SUM(K35+L35+M35+N35+O35+P35+J35)</f>
        <v>67</v>
      </c>
      <c r="J35" s="521">
        <v>18</v>
      </c>
      <c r="K35" s="521">
        <v>0</v>
      </c>
      <c r="L35" s="521">
        <v>49</v>
      </c>
      <c r="M35" s="521">
        <v>0</v>
      </c>
      <c r="N35" s="521">
        <v>0</v>
      </c>
      <c r="O35" s="521">
        <v>0</v>
      </c>
      <c r="P35" s="521">
        <v>0</v>
      </c>
      <c r="Q35" s="521">
        <v>74</v>
      </c>
      <c r="R35" s="523">
        <f t="shared" si="3"/>
        <v>123</v>
      </c>
      <c r="S35" s="520">
        <f t="shared" si="1"/>
        <v>26.865671641791046</v>
      </c>
      <c r="T35" s="471">
        <f t="shared" si="8"/>
        <v>0</v>
      </c>
      <c r="U35" s="395"/>
    </row>
    <row r="36" spans="1:21" s="387" customFormat="1" ht="25.5" customHeight="1">
      <c r="A36" s="472">
        <v>1.4</v>
      </c>
      <c r="B36" s="476" t="s">
        <v>548</v>
      </c>
      <c r="C36" s="521">
        <f>SUM(E36+D36)</f>
        <v>200</v>
      </c>
      <c r="D36" s="521">
        <v>163</v>
      </c>
      <c r="E36" s="521">
        <v>37</v>
      </c>
      <c r="F36" s="521">
        <v>0</v>
      </c>
      <c r="G36" s="521">
        <v>0</v>
      </c>
      <c r="H36" s="521">
        <f>SUM(Q36+I36)</f>
        <v>200</v>
      </c>
      <c r="I36" s="521">
        <f>SUM(K36+L36+M36+N36+O36+P36+J36)</f>
        <v>84</v>
      </c>
      <c r="J36" s="521">
        <v>14</v>
      </c>
      <c r="K36" s="521">
        <v>0</v>
      </c>
      <c r="L36" s="521">
        <v>70</v>
      </c>
      <c r="M36" s="521">
        <v>0</v>
      </c>
      <c r="N36" s="521">
        <v>0</v>
      </c>
      <c r="O36" s="521">
        <v>0</v>
      </c>
      <c r="P36" s="521">
        <v>0</v>
      </c>
      <c r="Q36" s="521">
        <v>116</v>
      </c>
      <c r="R36" s="523">
        <f t="shared" si="3"/>
        <v>186</v>
      </c>
      <c r="S36" s="520">
        <f t="shared" si="1"/>
        <v>16.666666666666664</v>
      </c>
      <c r="T36" s="471">
        <f t="shared" si="8"/>
        <v>0</v>
      </c>
      <c r="U36" s="395"/>
    </row>
    <row r="37" spans="1:21" s="387" customFormat="1" ht="25.5" customHeight="1">
      <c r="A37" s="472">
        <v>1.5</v>
      </c>
      <c r="B37" s="476" t="s">
        <v>518</v>
      </c>
      <c r="C37" s="521">
        <f>SUM(E37+D37)</f>
        <v>162</v>
      </c>
      <c r="D37" s="521">
        <v>142</v>
      </c>
      <c r="E37" s="521">
        <v>20</v>
      </c>
      <c r="F37" s="521">
        <v>1</v>
      </c>
      <c r="G37" s="521">
        <v>0</v>
      </c>
      <c r="H37" s="521">
        <f>SUM(Q37+I37)</f>
        <v>161</v>
      </c>
      <c r="I37" s="521">
        <f>SUM(K37+L37+M37+N37+O37+P37+J37)</f>
        <v>66</v>
      </c>
      <c r="J37" s="521">
        <v>7</v>
      </c>
      <c r="K37" s="521">
        <v>0</v>
      </c>
      <c r="L37" s="521">
        <v>59</v>
      </c>
      <c r="M37" s="521">
        <v>0</v>
      </c>
      <c r="N37" s="521">
        <v>0</v>
      </c>
      <c r="O37" s="521">
        <v>0</v>
      </c>
      <c r="P37" s="521">
        <v>0</v>
      </c>
      <c r="Q37" s="521">
        <v>95</v>
      </c>
      <c r="R37" s="523">
        <f t="shared" si="3"/>
        <v>154</v>
      </c>
      <c r="S37" s="520">
        <f t="shared" si="1"/>
        <v>10.606060606060606</v>
      </c>
      <c r="T37" s="471">
        <f t="shared" si="8"/>
        <v>0</v>
      </c>
      <c r="U37" s="395"/>
    </row>
    <row r="38" spans="1:21" s="387" customFormat="1" ht="25.5" customHeight="1">
      <c r="A38" s="530">
        <v>2</v>
      </c>
      <c r="B38" s="532" t="s">
        <v>458</v>
      </c>
      <c r="C38" s="517">
        <f>SUM(C39:C41)</f>
        <v>292</v>
      </c>
      <c r="D38" s="517">
        <f aca="true" t="shared" si="11" ref="D38:Q38">SUM(D39:D41)</f>
        <v>175</v>
      </c>
      <c r="E38" s="517">
        <f t="shared" si="11"/>
        <v>117</v>
      </c>
      <c r="F38" s="517">
        <f t="shared" si="11"/>
        <v>1</v>
      </c>
      <c r="G38" s="517">
        <f t="shared" si="11"/>
        <v>0</v>
      </c>
      <c r="H38" s="517">
        <f t="shared" si="11"/>
        <v>291</v>
      </c>
      <c r="I38" s="517">
        <f t="shared" si="11"/>
        <v>142</v>
      </c>
      <c r="J38" s="517">
        <f t="shared" si="11"/>
        <v>83</v>
      </c>
      <c r="K38" s="517">
        <f t="shared" si="11"/>
        <v>4</v>
      </c>
      <c r="L38" s="517">
        <f t="shared" si="11"/>
        <v>52</v>
      </c>
      <c r="M38" s="517">
        <f t="shared" si="11"/>
        <v>0</v>
      </c>
      <c r="N38" s="517">
        <f t="shared" si="11"/>
        <v>1</v>
      </c>
      <c r="O38" s="517">
        <f t="shared" si="11"/>
        <v>0</v>
      </c>
      <c r="P38" s="517">
        <f t="shared" si="11"/>
        <v>2</v>
      </c>
      <c r="Q38" s="517">
        <f t="shared" si="11"/>
        <v>149</v>
      </c>
      <c r="R38" s="518">
        <f t="shared" si="3"/>
        <v>204</v>
      </c>
      <c r="S38" s="519">
        <f t="shared" si="1"/>
        <v>61.267605633802816</v>
      </c>
      <c r="T38" s="529">
        <f t="shared" si="8"/>
        <v>0</v>
      </c>
      <c r="U38" s="395"/>
    </row>
    <row r="39" spans="1:21" s="387" customFormat="1" ht="23.25" customHeight="1">
      <c r="A39" s="472">
        <v>2.1</v>
      </c>
      <c r="B39" s="477" t="s">
        <v>459</v>
      </c>
      <c r="C39" s="521">
        <f>D39+E39</f>
        <v>68</v>
      </c>
      <c r="D39" s="521">
        <v>11</v>
      </c>
      <c r="E39" s="521">
        <v>57</v>
      </c>
      <c r="F39" s="521">
        <v>0</v>
      </c>
      <c r="G39" s="521"/>
      <c r="H39" s="521">
        <f>I39+Q39</f>
        <v>68</v>
      </c>
      <c r="I39" s="521">
        <f>J39+K39+L39+M39+N39+O39+P39</f>
        <v>57</v>
      </c>
      <c r="J39" s="521">
        <v>55</v>
      </c>
      <c r="K39" s="521">
        <v>0</v>
      </c>
      <c r="L39" s="521">
        <v>2</v>
      </c>
      <c r="M39" s="521"/>
      <c r="N39" s="521"/>
      <c r="O39" s="521"/>
      <c r="P39" s="537"/>
      <c r="Q39" s="535">
        <v>11</v>
      </c>
      <c r="R39" s="523">
        <f t="shared" si="3"/>
        <v>13</v>
      </c>
      <c r="S39" s="520">
        <f t="shared" si="1"/>
        <v>96.49122807017544</v>
      </c>
      <c r="T39" s="471">
        <f t="shared" si="8"/>
        <v>0</v>
      </c>
      <c r="U39" s="395"/>
    </row>
    <row r="40" spans="1:21" s="387" customFormat="1" ht="23.25" customHeight="1">
      <c r="A40" s="472">
        <v>2.2</v>
      </c>
      <c r="B40" s="477" t="s">
        <v>460</v>
      </c>
      <c r="C40" s="521">
        <f>D40+E40</f>
        <v>109</v>
      </c>
      <c r="D40" s="521">
        <v>78</v>
      </c>
      <c r="E40" s="521">
        <v>31</v>
      </c>
      <c r="F40" s="521">
        <f>C40-H40</f>
        <v>1</v>
      </c>
      <c r="G40" s="521"/>
      <c r="H40" s="521">
        <f>I40+Q40</f>
        <v>108</v>
      </c>
      <c r="I40" s="521">
        <f>J40+K40+L40+M40+N40+O40+P40</f>
        <v>38</v>
      </c>
      <c r="J40" s="521">
        <v>21</v>
      </c>
      <c r="K40" s="521">
        <v>1</v>
      </c>
      <c r="L40" s="521">
        <v>16</v>
      </c>
      <c r="M40" s="521"/>
      <c r="N40" s="521"/>
      <c r="O40" s="521"/>
      <c r="P40" s="537">
        <v>0</v>
      </c>
      <c r="Q40" s="535">
        <v>70</v>
      </c>
      <c r="R40" s="523">
        <f t="shared" si="3"/>
        <v>86</v>
      </c>
      <c r="S40" s="520">
        <f t="shared" si="1"/>
        <v>57.89473684210527</v>
      </c>
      <c r="T40" s="471">
        <f t="shared" si="8"/>
        <v>0</v>
      </c>
      <c r="U40" s="395"/>
    </row>
    <row r="41" spans="1:21" s="387" customFormat="1" ht="23.25" customHeight="1">
      <c r="A41" s="472">
        <v>2.3</v>
      </c>
      <c r="B41" s="477" t="s">
        <v>461</v>
      </c>
      <c r="C41" s="521">
        <f>D41+E41</f>
        <v>115</v>
      </c>
      <c r="D41" s="521">
        <v>86</v>
      </c>
      <c r="E41" s="521">
        <v>29</v>
      </c>
      <c r="F41" s="521"/>
      <c r="G41" s="521"/>
      <c r="H41" s="521">
        <f>I41+Q41</f>
        <v>115</v>
      </c>
      <c r="I41" s="521">
        <f>J41+K41+L41+M41+N41+O41+P41</f>
        <v>47</v>
      </c>
      <c r="J41" s="521">
        <v>7</v>
      </c>
      <c r="K41" s="521">
        <v>3</v>
      </c>
      <c r="L41" s="521">
        <v>34</v>
      </c>
      <c r="M41" s="521"/>
      <c r="N41" s="521">
        <v>1</v>
      </c>
      <c r="O41" s="521"/>
      <c r="P41" s="537">
        <v>2</v>
      </c>
      <c r="Q41" s="535">
        <v>68</v>
      </c>
      <c r="R41" s="523">
        <f t="shared" si="3"/>
        <v>105</v>
      </c>
      <c r="S41" s="520">
        <f t="shared" si="1"/>
        <v>21.27659574468085</v>
      </c>
      <c r="T41" s="471">
        <f t="shared" si="8"/>
        <v>0</v>
      </c>
      <c r="U41" s="395"/>
    </row>
    <row r="42" spans="1:21" s="387" customFormat="1" ht="23.25" customHeight="1">
      <c r="A42" s="530">
        <v>3</v>
      </c>
      <c r="B42" s="532" t="s">
        <v>463</v>
      </c>
      <c r="C42" s="517">
        <f>C43+C44</f>
        <v>177</v>
      </c>
      <c r="D42" s="517">
        <f aca="true" t="shared" si="12" ref="D42:Q42">D43+D44</f>
        <v>132</v>
      </c>
      <c r="E42" s="517">
        <f t="shared" si="12"/>
        <v>45</v>
      </c>
      <c r="F42" s="517">
        <f t="shared" si="12"/>
        <v>0</v>
      </c>
      <c r="G42" s="517">
        <f t="shared" si="12"/>
        <v>0</v>
      </c>
      <c r="H42" s="517">
        <f t="shared" si="12"/>
        <v>177</v>
      </c>
      <c r="I42" s="517">
        <f t="shared" si="12"/>
        <v>101</v>
      </c>
      <c r="J42" s="517">
        <f t="shared" si="12"/>
        <v>38</v>
      </c>
      <c r="K42" s="517">
        <f t="shared" si="12"/>
        <v>0</v>
      </c>
      <c r="L42" s="517">
        <f t="shared" si="12"/>
        <v>62</v>
      </c>
      <c r="M42" s="517">
        <f t="shared" si="12"/>
        <v>0</v>
      </c>
      <c r="N42" s="517">
        <f t="shared" si="12"/>
        <v>0</v>
      </c>
      <c r="O42" s="517">
        <f t="shared" si="12"/>
        <v>0</v>
      </c>
      <c r="P42" s="517">
        <f t="shared" si="12"/>
        <v>1</v>
      </c>
      <c r="Q42" s="517">
        <f t="shared" si="12"/>
        <v>76</v>
      </c>
      <c r="R42" s="518">
        <f t="shared" si="3"/>
        <v>139</v>
      </c>
      <c r="S42" s="519">
        <f t="shared" si="1"/>
        <v>37.62376237623762</v>
      </c>
      <c r="T42" s="529">
        <f t="shared" si="8"/>
        <v>0</v>
      </c>
      <c r="U42" s="395"/>
    </row>
    <row r="43" spans="1:21" s="387" customFormat="1" ht="23.25" customHeight="1">
      <c r="A43" s="472">
        <v>3.1</v>
      </c>
      <c r="B43" s="473" t="s">
        <v>464</v>
      </c>
      <c r="C43" s="521">
        <f>D43+E43</f>
        <v>64</v>
      </c>
      <c r="D43" s="521">
        <v>45</v>
      </c>
      <c r="E43" s="521">
        <v>19</v>
      </c>
      <c r="F43" s="521">
        <v>0</v>
      </c>
      <c r="G43" s="521">
        <v>0</v>
      </c>
      <c r="H43" s="521">
        <f>I43+Q43</f>
        <v>64</v>
      </c>
      <c r="I43" s="521">
        <f>SUM(J43:P43)</f>
        <v>38</v>
      </c>
      <c r="J43" s="521">
        <v>15</v>
      </c>
      <c r="K43" s="521">
        <v>0</v>
      </c>
      <c r="L43" s="521">
        <v>22</v>
      </c>
      <c r="M43" s="521">
        <v>0</v>
      </c>
      <c r="N43" s="521">
        <v>0</v>
      </c>
      <c r="O43" s="521">
        <v>0</v>
      </c>
      <c r="P43" s="537">
        <v>1</v>
      </c>
      <c r="Q43" s="535">
        <v>26</v>
      </c>
      <c r="R43" s="523">
        <f t="shared" si="3"/>
        <v>49</v>
      </c>
      <c r="S43" s="520">
        <f t="shared" si="1"/>
        <v>39.473684210526315</v>
      </c>
      <c r="T43" s="471">
        <f t="shared" si="8"/>
        <v>0</v>
      </c>
      <c r="U43" s="395"/>
    </row>
    <row r="44" spans="1:21" s="387" customFormat="1" ht="23.25" customHeight="1">
      <c r="A44" s="472">
        <v>3.2</v>
      </c>
      <c r="B44" s="473" t="s">
        <v>465</v>
      </c>
      <c r="C44" s="521">
        <f>D44+E44</f>
        <v>113</v>
      </c>
      <c r="D44" s="521">
        <v>87</v>
      </c>
      <c r="E44" s="521">
        <v>26</v>
      </c>
      <c r="F44" s="521">
        <v>0</v>
      </c>
      <c r="G44" s="521">
        <v>0</v>
      </c>
      <c r="H44" s="521">
        <f>I44+Q44</f>
        <v>113</v>
      </c>
      <c r="I44" s="521">
        <f>SUM(J44:P44)</f>
        <v>63</v>
      </c>
      <c r="J44" s="521">
        <v>23</v>
      </c>
      <c r="K44" s="521">
        <v>0</v>
      </c>
      <c r="L44" s="521">
        <v>40</v>
      </c>
      <c r="M44" s="521">
        <v>0</v>
      </c>
      <c r="N44" s="521">
        <v>0</v>
      </c>
      <c r="O44" s="521">
        <v>0</v>
      </c>
      <c r="P44" s="537">
        <v>0</v>
      </c>
      <c r="Q44" s="535">
        <v>50</v>
      </c>
      <c r="R44" s="523">
        <f t="shared" si="3"/>
        <v>90</v>
      </c>
      <c r="S44" s="520">
        <f t="shared" si="1"/>
        <v>36.507936507936506</v>
      </c>
      <c r="T44" s="471">
        <f t="shared" si="8"/>
        <v>0</v>
      </c>
      <c r="U44" s="395"/>
    </row>
    <row r="45" spans="1:21" s="387" customFormat="1" ht="23.25" customHeight="1">
      <c r="A45" s="530">
        <v>4</v>
      </c>
      <c r="B45" s="532" t="s">
        <v>467</v>
      </c>
      <c r="C45" s="517">
        <f>SUM(C46)</f>
        <v>1</v>
      </c>
      <c r="D45" s="517">
        <f aca="true" t="shared" si="13" ref="D45:R45">SUM(D46)</f>
        <v>0</v>
      </c>
      <c r="E45" s="517">
        <f t="shared" si="13"/>
        <v>1</v>
      </c>
      <c r="F45" s="517">
        <f t="shared" si="13"/>
        <v>0</v>
      </c>
      <c r="G45" s="517">
        <f t="shared" si="13"/>
        <v>0</v>
      </c>
      <c r="H45" s="517">
        <f t="shared" si="13"/>
        <v>1</v>
      </c>
      <c r="I45" s="517">
        <f t="shared" si="13"/>
        <v>1</v>
      </c>
      <c r="J45" s="517">
        <f t="shared" si="13"/>
        <v>1</v>
      </c>
      <c r="K45" s="517">
        <f t="shared" si="13"/>
        <v>0</v>
      </c>
      <c r="L45" s="517">
        <f t="shared" si="13"/>
        <v>0</v>
      </c>
      <c r="M45" s="517">
        <f t="shared" si="13"/>
        <v>0</v>
      </c>
      <c r="N45" s="517">
        <f t="shared" si="13"/>
        <v>0</v>
      </c>
      <c r="O45" s="517">
        <f t="shared" si="13"/>
        <v>0</v>
      </c>
      <c r="P45" s="517">
        <f t="shared" si="13"/>
        <v>0</v>
      </c>
      <c r="Q45" s="517">
        <f t="shared" si="13"/>
        <v>0</v>
      </c>
      <c r="R45" s="517">
        <f t="shared" si="13"/>
        <v>0</v>
      </c>
      <c r="S45" s="519">
        <f t="shared" si="1"/>
        <v>100</v>
      </c>
      <c r="T45" s="529">
        <f t="shared" si="8"/>
        <v>0</v>
      </c>
      <c r="U45" s="395"/>
    </row>
    <row r="46" spans="1:21" s="387" customFormat="1" ht="23.25" customHeight="1">
      <c r="A46" s="472" t="s">
        <v>111</v>
      </c>
      <c r="B46" s="475" t="s">
        <v>468</v>
      </c>
      <c r="C46" s="522">
        <f>D46+E46</f>
        <v>1</v>
      </c>
      <c r="D46" s="522">
        <v>0</v>
      </c>
      <c r="E46" s="522">
        <v>1</v>
      </c>
      <c r="F46" s="522"/>
      <c r="G46" s="522"/>
      <c r="H46" s="522">
        <f>I46+Q46</f>
        <v>1</v>
      </c>
      <c r="I46" s="522">
        <f>SUM(J46:P46)</f>
        <v>1</v>
      </c>
      <c r="J46" s="522">
        <v>1</v>
      </c>
      <c r="K46" s="522"/>
      <c r="L46" s="524"/>
      <c r="M46" s="524"/>
      <c r="N46" s="524"/>
      <c r="O46" s="523"/>
      <c r="P46" s="523"/>
      <c r="Q46" s="523"/>
      <c r="R46" s="523">
        <f t="shared" si="3"/>
        <v>0</v>
      </c>
      <c r="S46" s="520">
        <f t="shared" si="1"/>
        <v>100</v>
      </c>
      <c r="T46" s="471">
        <f t="shared" si="8"/>
        <v>0</v>
      </c>
      <c r="U46" s="395"/>
    </row>
    <row r="47" spans="1:21" s="387" customFormat="1" ht="23.25" customHeight="1">
      <c r="A47" s="530">
        <v>5</v>
      </c>
      <c r="B47" s="532" t="s">
        <v>469</v>
      </c>
      <c r="C47" s="517">
        <f>SUM(C48:C54)</f>
        <v>2145</v>
      </c>
      <c r="D47" s="517">
        <f aca="true" t="shared" si="14" ref="D47:Q47">SUM(D48:D54)</f>
        <v>1884</v>
      </c>
      <c r="E47" s="517">
        <f t="shared" si="14"/>
        <v>261</v>
      </c>
      <c r="F47" s="517">
        <f t="shared" si="14"/>
        <v>3</v>
      </c>
      <c r="G47" s="517">
        <f t="shared" si="14"/>
        <v>0</v>
      </c>
      <c r="H47" s="517">
        <f t="shared" si="14"/>
        <v>2142</v>
      </c>
      <c r="I47" s="517">
        <f t="shared" si="14"/>
        <v>628</v>
      </c>
      <c r="J47" s="517">
        <f t="shared" si="14"/>
        <v>165</v>
      </c>
      <c r="K47" s="517">
        <f t="shared" si="14"/>
        <v>4</v>
      </c>
      <c r="L47" s="517">
        <f t="shared" si="14"/>
        <v>458</v>
      </c>
      <c r="M47" s="517">
        <f t="shared" si="14"/>
        <v>0</v>
      </c>
      <c r="N47" s="517">
        <f t="shared" si="14"/>
        <v>0</v>
      </c>
      <c r="O47" s="517">
        <f t="shared" si="14"/>
        <v>0</v>
      </c>
      <c r="P47" s="517">
        <f t="shared" si="14"/>
        <v>1</v>
      </c>
      <c r="Q47" s="517">
        <f t="shared" si="14"/>
        <v>1514</v>
      </c>
      <c r="R47" s="518">
        <f t="shared" si="3"/>
        <v>1973</v>
      </c>
      <c r="S47" s="533">
        <f t="shared" si="1"/>
        <v>26.910828025477706</v>
      </c>
      <c r="T47" s="529">
        <f t="shared" si="8"/>
        <v>0</v>
      </c>
      <c r="U47" s="395"/>
    </row>
    <row r="48" spans="1:21" s="387" customFormat="1" ht="23.25" customHeight="1">
      <c r="A48" s="478" t="s">
        <v>112</v>
      </c>
      <c r="B48" s="479" t="s">
        <v>470</v>
      </c>
      <c r="C48" s="538">
        <v>105</v>
      </c>
      <c r="D48" s="538">
        <v>94</v>
      </c>
      <c r="E48" s="538">
        <v>11</v>
      </c>
      <c r="F48" s="538">
        <v>0</v>
      </c>
      <c r="G48" s="538">
        <v>0</v>
      </c>
      <c r="H48" s="538">
        <v>105</v>
      </c>
      <c r="I48" s="538">
        <v>21</v>
      </c>
      <c r="J48" s="538">
        <v>11</v>
      </c>
      <c r="K48" s="538">
        <v>0</v>
      </c>
      <c r="L48" s="539">
        <v>10</v>
      </c>
      <c r="M48" s="538">
        <v>0</v>
      </c>
      <c r="N48" s="538">
        <v>0</v>
      </c>
      <c r="O48" s="538">
        <v>0</v>
      </c>
      <c r="P48" s="538">
        <v>0</v>
      </c>
      <c r="Q48" s="540">
        <v>84</v>
      </c>
      <c r="R48" s="523">
        <f t="shared" si="3"/>
        <v>94</v>
      </c>
      <c r="S48" s="525">
        <f t="shared" si="1"/>
        <v>52.38095238095239</v>
      </c>
      <c r="T48" s="471">
        <f t="shared" si="8"/>
        <v>0</v>
      </c>
      <c r="U48" s="395"/>
    </row>
    <row r="49" spans="1:21" s="387" customFormat="1" ht="23.25" customHeight="1">
      <c r="A49" s="478" t="s">
        <v>113</v>
      </c>
      <c r="B49" s="479" t="s">
        <v>471</v>
      </c>
      <c r="C49" s="538">
        <v>258</v>
      </c>
      <c r="D49" s="538">
        <v>222</v>
      </c>
      <c r="E49" s="538">
        <v>36</v>
      </c>
      <c r="F49" s="538">
        <v>0</v>
      </c>
      <c r="G49" s="538">
        <v>0</v>
      </c>
      <c r="H49" s="538">
        <v>258</v>
      </c>
      <c r="I49" s="538">
        <v>103</v>
      </c>
      <c r="J49" s="538">
        <v>17</v>
      </c>
      <c r="K49" s="538">
        <v>0</v>
      </c>
      <c r="L49" s="539">
        <v>85</v>
      </c>
      <c r="M49" s="538">
        <v>0</v>
      </c>
      <c r="N49" s="538">
        <v>0</v>
      </c>
      <c r="O49" s="538">
        <v>0</v>
      </c>
      <c r="P49" s="538">
        <v>1</v>
      </c>
      <c r="Q49" s="540">
        <v>155</v>
      </c>
      <c r="R49" s="523">
        <f t="shared" si="3"/>
        <v>241</v>
      </c>
      <c r="S49" s="525">
        <f t="shared" si="1"/>
        <v>16.50485436893204</v>
      </c>
      <c r="T49" s="471">
        <f t="shared" si="8"/>
        <v>0</v>
      </c>
      <c r="U49" s="395"/>
    </row>
    <row r="50" spans="1:21" s="387" customFormat="1" ht="23.25" customHeight="1">
      <c r="A50" s="478" t="s">
        <v>114</v>
      </c>
      <c r="B50" s="479" t="s">
        <v>549</v>
      </c>
      <c r="C50" s="538">
        <v>296</v>
      </c>
      <c r="D50" s="538">
        <v>263</v>
      </c>
      <c r="E50" s="538">
        <v>33</v>
      </c>
      <c r="F50" s="538">
        <v>2</v>
      </c>
      <c r="G50" s="538">
        <v>0</v>
      </c>
      <c r="H50" s="538">
        <v>294</v>
      </c>
      <c r="I50" s="538">
        <v>99</v>
      </c>
      <c r="J50" s="538">
        <v>23</v>
      </c>
      <c r="K50" s="538">
        <v>3</v>
      </c>
      <c r="L50" s="539">
        <v>73</v>
      </c>
      <c r="M50" s="538">
        <v>0</v>
      </c>
      <c r="N50" s="538">
        <v>0</v>
      </c>
      <c r="O50" s="538">
        <v>0</v>
      </c>
      <c r="P50" s="538">
        <v>0</v>
      </c>
      <c r="Q50" s="540">
        <v>195</v>
      </c>
      <c r="R50" s="523">
        <f t="shared" si="3"/>
        <v>268</v>
      </c>
      <c r="S50" s="525">
        <f t="shared" si="1"/>
        <v>26.262626262626267</v>
      </c>
      <c r="T50" s="471">
        <f t="shared" si="8"/>
        <v>0</v>
      </c>
      <c r="U50" s="395"/>
    </row>
    <row r="51" spans="1:21" s="387" customFormat="1" ht="23.25" customHeight="1">
      <c r="A51" s="478" t="s">
        <v>473</v>
      </c>
      <c r="B51" s="479" t="s">
        <v>474</v>
      </c>
      <c r="C51" s="538">
        <v>222</v>
      </c>
      <c r="D51" s="538">
        <v>177</v>
      </c>
      <c r="E51" s="538">
        <v>45</v>
      </c>
      <c r="F51" s="538">
        <v>1</v>
      </c>
      <c r="G51" s="538">
        <v>0</v>
      </c>
      <c r="H51" s="538">
        <v>221</v>
      </c>
      <c r="I51" s="538">
        <v>94</v>
      </c>
      <c r="J51" s="538">
        <v>16</v>
      </c>
      <c r="K51" s="538">
        <v>1</v>
      </c>
      <c r="L51" s="539">
        <v>77</v>
      </c>
      <c r="M51" s="538">
        <v>0</v>
      </c>
      <c r="N51" s="538">
        <v>0</v>
      </c>
      <c r="O51" s="538">
        <v>0</v>
      </c>
      <c r="P51" s="538">
        <v>0</v>
      </c>
      <c r="Q51" s="540">
        <v>127</v>
      </c>
      <c r="R51" s="523">
        <f t="shared" si="3"/>
        <v>204</v>
      </c>
      <c r="S51" s="525">
        <f t="shared" si="1"/>
        <v>18.085106382978726</v>
      </c>
      <c r="T51" s="471">
        <f t="shared" si="8"/>
        <v>0</v>
      </c>
      <c r="U51" s="395"/>
    </row>
    <row r="52" spans="1:21" s="387" customFormat="1" ht="23.25" customHeight="1">
      <c r="A52" s="478" t="s">
        <v>475</v>
      </c>
      <c r="B52" s="479" t="s">
        <v>476</v>
      </c>
      <c r="C52" s="538">
        <v>414</v>
      </c>
      <c r="D52" s="538">
        <v>381</v>
      </c>
      <c r="E52" s="538">
        <v>33</v>
      </c>
      <c r="F52" s="538">
        <v>0</v>
      </c>
      <c r="G52" s="538">
        <v>0</v>
      </c>
      <c r="H52" s="538">
        <v>414</v>
      </c>
      <c r="I52" s="538">
        <v>90</v>
      </c>
      <c r="J52" s="538">
        <v>21</v>
      </c>
      <c r="K52" s="538">
        <v>0</v>
      </c>
      <c r="L52" s="539">
        <v>69</v>
      </c>
      <c r="M52" s="538">
        <v>0</v>
      </c>
      <c r="N52" s="538">
        <v>0</v>
      </c>
      <c r="O52" s="538">
        <v>0</v>
      </c>
      <c r="P52" s="538">
        <v>0</v>
      </c>
      <c r="Q52" s="540">
        <v>324</v>
      </c>
      <c r="R52" s="523">
        <f t="shared" si="3"/>
        <v>393</v>
      </c>
      <c r="S52" s="525">
        <f t="shared" si="1"/>
        <v>23.333333333333332</v>
      </c>
      <c r="T52" s="471">
        <f t="shared" si="8"/>
        <v>0</v>
      </c>
      <c r="U52" s="395"/>
    </row>
    <row r="53" spans="1:21" s="387" customFormat="1" ht="23.25" customHeight="1">
      <c r="A53" s="478" t="s">
        <v>477</v>
      </c>
      <c r="B53" s="479" t="s">
        <v>478</v>
      </c>
      <c r="C53" s="538">
        <v>456</v>
      </c>
      <c r="D53" s="538">
        <v>399</v>
      </c>
      <c r="E53" s="538">
        <v>57</v>
      </c>
      <c r="F53" s="538">
        <v>0</v>
      </c>
      <c r="G53" s="538">
        <v>0</v>
      </c>
      <c r="H53" s="538">
        <v>456</v>
      </c>
      <c r="I53" s="538">
        <v>130</v>
      </c>
      <c r="J53" s="538">
        <v>44</v>
      </c>
      <c r="K53" s="538">
        <v>0</v>
      </c>
      <c r="L53" s="539">
        <v>86</v>
      </c>
      <c r="M53" s="538">
        <v>0</v>
      </c>
      <c r="N53" s="538">
        <v>0</v>
      </c>
      <c r="O53" s="538">
        <v>0</v>
      </c>
      <c r="P53" s="538">
        <v>0</v>
      </c>
      <c r="Q53" s="540">
        <v>326</v>
      </c>
      <c r="R53" s="523">
        <f t="shared" si="3"/>
        <v>412</v>
      </c>
      <c r="S53" s="525">
        <f t="shared" si="1"/>
        <v>33.84615384615385</v>
      </c>
      <c r="T53" s="471">
        <f t="shared" si="8"/>
        <v>0</v>
      </c>
      <c r="U53" s="395"/>
    </row>
    <row r="54" spans="1:21" s="387" customFormat="1" ht="23.25" customHeight="1">
      <c r="A54" s="478" t="s">
        <v>479</v>
      </c>
      <c r="B54" s="479" t="s">
        <v>480</v>
      </c>
      <c r="C54" s="538">
        <v>394</v>
      </c>
      <c r="D54" s="538">
        <v>348</v>
      </c>
      <c r="E54" s="538">
        <v>46</v>
      </c>
      <c r="F54" s="538">
        <v>0</v>
      </c>
      <c r="G54" s="538">
        <v>0</v>
      </c>
      <c r="H54" s="538">
        <v>394</v>
      </c>
      <c r="I54" s="538">
        <v>91</v>
      </c>
      <c r="J54" s="538">
        <v>33</v>
      </c>
      <c r="K54" s="538">
        <v>0</v>
      </c>
      <c r="L54" s="539">
        <v>58</v>
      </c>
      <c r="M54" s="538">
        <v>0</v>
      </c>
      <c r="N54" s="538">
        <v>0</v>
      </c>
      <c r="O54" s="538">
        <v>0</v>
      </c>
      <c r="P54" s="538">
        <v>0</v>
      </c>
      <c r="Q54" s="540">
        <v>303</v>
      </c>
      <c r="R54" s="523">
        <f t="shared" si="3"/>
        <v>361</v>
      </c>
      <c r="S54" s="525">
        <f t="shared" si="1"/>
        <v>36.26373626373626</v>
      </c>
      <c r="T54" s="471">
        <f t="shared" si="8"/>
        <v>0</v>
      </c>
      <c r="U54" s="395"/>
    </row>
    <row r="55" spans="1:21" s="387" customFormat="1" ht="23.25" customHeight="1">
      <c r="A55" s="530">
        <v>6</v>
      </c>
      <c r="B55" s="532" t="s">
        <v>481</v>
      </c>
      <c r="C55" s="517">
        <f>SUM(C56:C60)</f>
        <v>500</v>
      </c>
      <c r="D55" s="517">
        <f aca="true" t="shared" si="15" ref="D55:Q55">SUM(D56:D60)</f>
        <v>357</v>
      </c>
      <c r="E55" s="517">
        <f t="shared" si="15"/>
        <v>143</v>
      </c>
      <c r="F55" s="517">
        <f t="shared" si="15"/>
        <v>3</v>
      </c>
      <c r="G55" s="517">
        <f t="shared" si="15"/>
        <v>0</v>
      </c>
      <c r="H55" s="517">
        <f t="shared" si="15"/>
        <v>497</v>
      </c>
      <c r="I55" s="517">
        <f t="shared" si="15"/>
        <v>229</v>
      </c>
      <c r="J55" s="517">
        <f t="shared" si="15"/>
        <v>62</v>
      </c>
      <c r="K55" s="517">
        <f t="shared" si="15"/>
        <v>4</v>
      </c>
      <c r="L55" s="517">
        <f t="shared" si="15"/>
        <v>154</v>
      </c>
      <c r="M55" s="517">
        <f t="shared" si="15"/>
        <v>2</v>
      </c>
      <c r="N55" s="517">
        <f t="shared" si="15"/>
        <v>0</v>
      </c>
      <c r="O55" s="517">
        <f t="shared" si="15"/>
        <v>0</v>
      </c>
      <c r="P55" s="517">
        <f t="shared" si="15"/>
        <v>7</v>
      </c>
      <c r="Q55" s="517">
        <f t="shared" si="15"/>
        <v>268</v>
      </c>
      <c r="R55" s="541">
        <f>SUM(R56:R60)</f>
        <v>431</v>
      </c>
      <c r="S55" s="519">
        <f t="shared" si="1"/>
        <v>28.82096069868996</v>
      </c>
      <c r="T55" s="529">
        <f t="shared" si="8"/>
        <v>0</v>
      </c>
      <c r="U55" s="395"/>
    </row>
    <row r="56" spans="1:21" s="387" customFormat="1" ht="23.25" customHeight="1">
      <c r="A56" s="472" t="s">
        <v>572</v>
      </c>
      <c r="B56" s="480" t="s">
        <v>578</v>
      </c>
      <c r="C56" s="526">
        <f>D56+E56</f>
        <v>68</v>
      </c>
      <c r="D56" s="527">
        <v>35</v>
      </c>
      <c r="E56" s="527">
        <v>33</v>
      </c>
      <c r="F56" s="527">
        <v>2</v>
      </c>
      <c r="G56" s="542"/>
      <c r="H56" s="527">
        <f>I56+Q56</f>
        <v>66</v>
      </c>
      <c r="I56" s="527">
        <f>SUM(J56:P56)</f>
        <v>54</v>
      </c>
      <c r="J56" s="527">
        <v>13</v>
      </c>
      <c r="K56" s="527">
        <v>1</v>
      </c>
      <c r="L56" s="527">
        <v>39</v>
      </c>
      <c r="M56" s="527">
        <v>1</v>
      </c>
      <c r="N56" s="527"/>
      <c r="O56" s="527"/>
      <c r="P56" s="527"/>
      <c r="Q56" s="527">
        <v>12</v>
      </c>
      <c r="R56" s="523">
        <f t="shared" si="3"/>
        <v>52</v>
      </c>
      <c r="S56" s="520">
        <f t="shared" si="1"/>
        <v>25.925925925925924</v>
      </c>
      <c r="T56" s="471">
        <f t="shared" si="8"/>
        <v>0</v>
      </c>
      <c r="U56" s="395"/>
    </row>
    <row r="57" spans="1:21" s="387" customFormat="1" ht="23.25" customHeight="1">
      <c r="A57" s="472" t="s">
        <v>573</v>
      </c>
      <c r="B57" s="480" t="s">
        <v>579</v>
      </c>
      <c r="C57" s="526">
        <f>D57+E57</f>
        <v>66</v>
      </c>
      <c r="D57" s="527">
        <v>58</v>
      </c>
      <c r="E57" s="527">
        <v>8</v>
      </c>
      <c r="F57" s="527"/>
      <c r="G57" s="527"/>
      <c r="H57" s="527">
        <f>I57+Q57</f>
        <v>66</v>
      </c>
      <c r="I57" s="527">
        <f>SUM(J57:P57)</f>
        <v>16</v>
      </c>
      <c r="J57" s="527">
        <v>3</v>
      </c>
      <c r="K57" s="527"/>
      <c r="L57" s="527">
        <v>13</v>
      </c>
      <c r="M57" s="527"/>
      <c r="N57" s="527"/>
      <c r="O57" s="527"/>
      <c r="P57" s="527"/>
      <c r="Q57" s="527">
        <v>50</v>
      </c>
      <c r="R57" s="523">
        <f t="shared" si="3"/>
        <v>63</v>
      </c>
      <c r="S57" s="520">
        <f t="shared" si="1"/>
        <v>18.75</v>
      </c>
      <c r="T57" s="471">
        <f t="shared" si="8"/>
        <v>0</v>
      </c>
      <c r="U57" s="395"/>
    </row>
    <row r="58" spans="1:21" s="387" customFormat="1" ht="23.25" customHeight="1">
      <c r="A58" s="472" t="s">
        <v>574</v>
      </c>
      <c r="B58" s="480" t="s">
        <v>484</v>
      </c>
      <c r="C58" s="526">
        <f>D58+E58</f>
        <v>145</v>
      </c>
      <c r="D58" s="527">
        <v>110</v>
      </c>
      <c r="E58" s="527">
        <v>35</v>
      </c>
      <c r="F58" s="527">
        <v>1</v>
      </c>
      <c r="G58" s="527"/>
      <c r="H58" s="527">
        <f>I58+Q58</f>
        <v>144</v>
      </c>
      <c r="I58" s="527">
        <f>SUM(J58:P58)</f>
        <v>65</v>
      </c>
      <c r="J58" s="527">
        <v>18</v>
      </c>
      <c r="K58" s="527">
        <v>1</v>
      </c>
      <c r="L58" s="527">
        <v>39</v>
      </c>
      <c r="M58" s="527">
        <v>1</v>
      </c>
      <c r="N58" s="527"/>
      <c r="O58" s="527"/>
      <c r="P58" s="527">
        <v>6</v>
      </c>
      <c r="Q58" s="527">
        <v>79</v>
      </c>
      <c r="R58" s="523">
        <f t="shared" si="3"/>
        <v>125</v>
      </c>
      <c r="S58" s="520">
        <f t="shared" si="1"/>
        <v>29.230769230769234</v>
      </c>
      <c r="T58" s="471">
        <f t="shared" si="8"/>
        <v>0</v>
      </c>
      <c r="U58" s="395"/>
    </row>
    <row r="59" spans="1:21" s="387" customFormat="1" ht="23.25" customHeight="1">
      <c r="A59" s="472" t="s">
        <v>575</v>
      </c>
      <c r="B59" s="480" t="s">
        <v>580</v>
      </c>
      <c r="C59" s="526">
        <f>D59+E59</f>
        <v>119</v>
      </c>
      <c r="D59" s="527">
        <v>81</v>
      </c>
      <c r="E59" s="527">
        <v>38</v>
      </c>
      <c r="F59" s="527"/>
      <c r="G59" s="527"/>
      <c r="H59" s="527">
        <f>I59+Q59</f>
        <v>119</v>
      </c>
      <c r="I59" s="527">
        <f>SUM(J59:P59)</f>
        <v>56</v>
      </c>
      <c r="J59" s="527">
        <v>15</v>
      </c>
      <c r="K59" s="527">
        <v>2</v>
      </c>
      <c r="L59" s="527">
        <v>38</v>
      </c>
      <c r="M59" s="527"/>
      <c r="N59" s="527"/>
      <c r="O59" s="527"/>
      <c r="P59" s="527">
        <v>1</v>
      </c>
      <c r="Q59" s="527">
        <v>63</v>
      </c>
      <c r="R59" s="523">
        <f t="shared" si="3"/>
        <v>102</v>
      </c>
      <c r="S59" s="520">
        <f t="shared" si="1"/>
        <v>30.357142857142854</v>
      </c>
      <c r="T59" s="471">
        <f t="shared" si="8"/>
        <v>0</v>
      </c>
      <c r="U59" s="395"/>
    </row>
    <row r="60" spans="1:21" s="387" customFormat="1" ht="23.25" customHeight="1">
      <c r="A60" s="472" t="s">
        <v>576</v>
      </c>
      <c r="B60" s="480" t="s">
        <v>550</v>
      </c>
      <c r="C60" s="526">
        <f>D60+E60</f>
        <v>102</v>
      </c>
      <c r="D60" s="527">
        <v>73</v>
      </c>
      <c r="E60" s="527">
        <v>29</v>
      </c>
      <c r="F60" s="527"/>
      <c r="G60" s="527"/>
      <c r="H60" s="527">
        <f>I60+Q60</f>
        <v>102</v>
      </c>
      <c r="I60" s="527">
        <f>SUM(J60:P60)</f>
        <v>38</v>
      </c>
      <c r="J60" s="527">
        <v>13</v>
      </c>
      <c r="K60" s="527"/>
      <c r="L60" s="527">
        <v>25</v>
      </c>
      <c r="M60" s="527"/>
      <c r="N60" s="527"/>
      <c r="O60" s="527"/>
      <c r="P60" s="527"/>
      <c r="Q60" s="527">
        <v>64</v>
      </c>
      <c r="R60" s="523">
        <f t="shared" si="3"/>
        <v>89</v>
      </c>
      <c r="S60" s="520">
        <f t="shared" si="1"/>
        <v>34.21052631578947</v>
      </c>
      <c r="T60" s="471">
        <f t="shared" si="8"/>
        <v>0</v>
      </c>
      <c r="U60" s="395"/>
    </row>
    <row r="61" spans="1:21" s="387" customFormat="1" ht="23.25" customHeight="1">
      <c r="A61" s="530">
        <v>7</v>
      </c>
      <c r="B61" s="531" t="s">
        <v>486</v>
      </c>
      <c r="C61" s="517">
        <f>SUM(C62:C67)</f>
        <v>746</v>
      </c>
      <c r="D61" s="517">
        <f aca="true" t="shared" si="16" ref="D61:Q61">SUM(D62:D67)</f>
        <v>602</v>
      </c>
      <c r="E61" s="517">
        <f t="shared" si="16"/>
        <v>144</v>
      </c>
      <c r="F61" s="517">
        <f t="shared" si="16"/>
        <v>2</v>
      </c>
      <c r="G61" s="517">
        <f t="shared" si="16"/>
        <v>2</v>
      </c>
      <c r="H61" s="517">
        <f t="shared" si="16"/>
        <v>744</v>
      </c>
      <c r="I61" s="517">
        <f t="shared" si="16"/>
        <v>320</v>
      </c>
      <c r="J61" s="517">
        <f t="shared" si="16"/>
        <v>96</v>
      </c>
      <c r="K61" s="517">
        <f t="shared" si="16"/>
        <v>3</v>
      </c>
      <c r="L61" s="517">
        <f t="shared" si="16"/>
        <v>221</v>
      </c>
      <c r="M61" s="517">
        <f t="shared" si="16"/>
        <v>0</v>
      </c>
      <c r="N61" s="517">
        <f t="shared" si="16"/>
        <v>0</v>
      </c>
      <c r="O61" s="517">
        <f t="shared" si="16"/>
        <v>0</v>
      </c>
      <c r="P61" s="517">
        <f t="shared" si="16"/>
        <v>0</v>
      </c>
      <c r="Q61" s="517">
        <f t="shared" si="16"/>
        <v>424</v>
      </c>
      <c r="R61" s="518">
        <f t="shared" si="3"/>
        <v>645</v>
      </c>
      <c r="S61" s="519">
        <f t="shared" si="1"/>
        <v>30.9375</v>
      </c>
      <c r="T61" s="529">
        <f t="shared" si="8"/>
        <v>0</v>
      </c>
      <c r="U61" s="395"/>
    </row>
    <row r="62" spans="1:21" s="387" customFormat="1" ht="23.25" customHeight="1">
      <c r="A62" s="478" t="s">
        <v>566</v>
      </c>
      <c r="B62" s="481" t="s">
        <v>487</v>
      </c>
      <c r="C62" s="521">
        <f aca="true" t="shared" si="17" ref="C62:C67">D62+E62</f>
        <v>73</v>
      </c>
      <c r="D62" s="521">
        <v>54</v>
      </c>
      <c r="E62" s="521">
        <v>19</v>
      </c>
      <c r="F62" s="521">
        <v>0</v>
      </c>
      <c r="G62" s="521"/>
      <c r="H62" s="521">
        <f aca="true" t="shared" si="18" ref="H62:H67">I62+Q62</f>
        <v>73</v>
      </c>
      <c r="I62" s="521">
        <f aca="true" t="shared" si="19" ref="I62:I67">SUM(J62:P62)</f>
        <v>40</v>
      </c>
      <c r="J62" s="521">
        <v>13</v>
      </c>
      <c r="K62" s="521">
        <v>0</v>
      </c>
      <c r="L62" s="521">
        <v>27</v>
      </c>
      <c r="M62" s="521"/>
      <c r="N62" s="521"/>
      <c r="O62" s="521"/>
      <c r="P62" s="537"/>
      <c r="Q62" s="535">
        <v>33</v>
      </c>
      <c r="R62" s="523">
        <f t="shared" si="3"/>
        <v>60</v>
      </c>
      <c r="S62" s="520">
        <f t="shared" si="1"/>
        <v>32.5</v>
      </c>
      <c r="T62" s="471">
        <f t="shared" si="8"/>
        <v>0</v>
      </c>
      <c r="U62" s="395"/>
    </row>
    <row r="63" spans="1:21" s="387" customFormat="1" ht="23.25" customHeight="1">
      <c r="A63" s="478" t="s">
        <v>567</v>
      </c>
      <c r="B63" s="481" t="s">
        <v>488</v>
      </c>
      <c r="C63" s="521">
        <f t="shared" si="17"/>
        <v>136</v>
      </c>
      <c r="D63" s="543">
        <v>107</v>
      </c>
      <c r="E63" s="543">
        <v>29</v>
      </c>
      <c r="F63" s="543">
        <v>0</v>
      </c>
      <c r="G63" s="543">
        <v>0</v>
      </c>
      <c r="H63" s="521">
        <f t="shared" si="18"/>
        <v>136</v>
      </c>
      <c r="I63" s="521">
        <f t="shared" si="19"/>
        <v>58</v>
      </c>
      <c r="J63" s="543">
        <v>18</v>
      </c>
      <c r="K63" s="543">
        <v>0</v>
      </c>
      <c r="L63" s="543">
        <v>40</v>
      </c>
      <c r="M63" s="543">
        <v>0</v>
      </c>
      <c r="N63" s="543">
        <v>0</v>
      </c>
      <c r="O63" s="543">
        <v>0</v>
      </c>
      <c r="P63" s="544">
        <v>0</v>
      </c>
      <c r="Q63" s="543">
        <v>78</v>
      </c>
      <c r="R63" s="523">
        <f t="shared" si="3"/>
        <v>118</v>
      </c>
      <c r="S63" s="520">
        <f t="shared" si="1"/>
        <v>31.03448275862069</v>
      </c>
      <c r="T63" s="471">
        <f t="shared" si="8"/>
        <v>0</v>
      </c>
      <c r="U63" s="395"/>
    </row>
    <row r="64" spans="1:21" s="387" customFormat="1" ht="23.25" customHeight="1">
      <c r="A64" s="478" t="s">
        <v>568</v>
      </c>
      <c r="B64" s="481" t="s">
        <v>551</v>
      </c>
      <c r="C64" s="521">
        <f t="shared" si="17"/>
        <v>149</v>
      </c>
      <c r="D64" s="521">
        <v>125</v>
      </c>
      <c r="E64" s="521">
        <v>24</v>
      </c>
      <c r="F64" s="521">
        <v>0</v>
      </c>
      <c r="G64" s="521"/>
      <c r="H64" s="521">
        <f>I64+Q64</f>
        <v>149</v>
      </c>
      <c r="I64" s="521">
        <f t="shared" si="19"/>
        <v>57</v>
      </c>
      <c r="J64" s="521">
        <v>15</v>
      </c>
      <c r="K64" s="521">
        <v>0</v>
      </c>
      <c r="L64" s="521">
        <v>42</v>
      </c>
      <c r="M64" s="521"/>
      <c r="N64" s="521"/>
      <c r="O64" s="521"/>
      <c r="P64" s="537">
        <v>0</v>
      </c>
      <c r="Q64" s="535">
        <v>92</v>
      </c>
      <c r="R64" s="523">
        <f t="shared" si="3"/>
        <v>134</v>
      </c>
      <c r="S64" s="520">
        <f t="shared" si="1"/>
        <v>26.31578947368421</v>
      </c>
      <c r="T64" s="471">
        <f t="shared" si="8"/>
        <v>0</v>
      </c>
      <c r="U64" s="395"/>
    </row>
    <row r="65" spans="1:21" s="387" customFormat="1" ht="23.25" customHeight="1">
      <c r="A65" s="478" t="s">
        <v>569</v>
      </c>
      <c r="B65" s="481" t="s">
        <v>490</v>
      </c>
      <c r="C65" s="521">
        <f t="shared" si="17"/>
        <v>133</v>
      </c>
      <c r="D65" s="521">
        <v>110</v>
      </c>
      <c r="E65" s="521">
        <v>23</v>
      </c>
      <c r="F65" s="521">
        <v>2</v>
      </c>
      <c r="G65" s="521">
        <v>0</v>
      </c>
      <c r="H65" s="521">
        <f t="shared" si="18"/>
        <v>131</v>
      </c>
      <c r="I65" s="521">
        <f t="shared" si="19"/>
        <v>57</v>
      </c>
      <c r="J65" s="521">
        <v>18</v>
      </c>
      <c r="K65" s="521">
        <v>1</v>
      </c>
      <c r="L65" s="521">
        <v>38</v>
      </c>
      <c r="M65" s="521"/>
      <c r="N65" s="521"/>
      <c r="O65" s="521"/>
      <c r="P65" s="537">
        <v>0</v>
      </c>
      <c r="Q65" s="535">
        <v>74</v>
      </c>
      <c r="R65" s="523">
        <f t="shared" si="3"/>
        <v>112</v>
      </c>
      <c r="S65" s="520">
        <f t="shared" si="1"/>
        <v>33.33333333333333</v>
      </c>
      <c r="T65" s="471">
        <f t="shared" si="8"/>
        <v>0</v>
      </c>
      <c r="U65" s="395"/>
    </row>
    <row r="66" spans="1:21" s="387" customFormat="1" ht="23.25" customHeight="1">
      <c r="A66" s="478" t="s">
        <v>570</v>
      </c>
      <c r="B66" s="481" t="s">
        <v>491</v>
      </c>
      <c r="C66" s="521">
        <f t="shared" si="17"/>
        <v>137</v>
      </c>
      <c r="D66" s="521">
        <v>113</v>
      </c>
      <c r="E66" s="521">
        <v>24</v>
      </c>
      <c r="F66" s="521">
        <v>0</v>
      </c>
      <c r="G66" s="521"/>
      <c r="H66" s="521">
        <f t="shared" si="18"/>
        <v>137</v>
      </c>
      <c r="I66" s="521">
        <f t="shared" si="19"/>
        <v>60</v>
      </c>
      <c r="J66" s="521">
        <v>17</v>
      </c>
      <c r="K66" s="521">
        <v>2</v>
      </c>
      <c r="L66" s="521">
        <v>41</v>
      </c>
      <c r="M66" s="521"/>
      <c r="N66" s="521"/>
      <c r="O66" s="521"/>
      <c r="P66" s="537">
        <v>0</v>
      </c>
      <c r="Q66" s="535">
        <v>77</v>
      </c>
      <c r="R66" s="523">
        <f t="shared" si="3"/>
        <v>118</v>
      </c>
      <c r="S66" s="520">
        <f t="shared" si="1"/>
        <v>31.666666666666664</v>
      </c>
      <c r="T66" s="471">
        <f t="shared" si="8"/>
        <v>0</v>
      </c>
      <c r="U66" s="395"/>
    </row>
    <row r="67" spans="1:21" s="387" customFormat="1" ht="23.25" customHeight="1">
      <c r="A67" s="478" t="s">
        <v>571</v>
      </c>
      <c r="B67" s="481" t="s">
        <v>492</v>
      </c>
      <c r="C67" s="521">
        <f t="shared" si="17"/>
        <v>118</v>
      </c>
      <c r="D67" s="521">
        <v>93</v>
      </c>
      <c r="E67" s="521">
        <v>25</v>
      </c>
      <c r="F67" s="521">
        <v>0</v>
      </c>
      <c r="G67" s="521">
        <v>2</v>
      </c>
      <c r="H67" s="521">
        <f t="shared" si="18"/>
        <v>118</v>
      </c>
      <c r="I67" s="521">
        <f t="shared" si="19"/>
        <v>48</v>
      </c>
      <c r="J67" s="521">
        <v>15</v>
      </c>
      <c r="K67" s="521">
        <v>0</v>
      </c>
      <c r="L67" s="521">
        <v>33</v>
      </c>
      <c r="M67" s="521"/>
      <c r="N67" s="521"/>
      <c r="O67" s="521"/>
      <c r="P67" s="537">
        <v>0</v>
      </c>
      <c r="Q67" s="535">
        <v>70</v>
      </c>
      <c r="R67" s="523">
        <f t="shared" si="3"/>
        <v>103</v>
      </c>
      <c r="S67" s="520">
        <f t="shared" si="1"/>
        <v>31.25</v>
      </c>
      <c r="T67" s="471">
        <f t="shared" si="8"/>
        <v>0</v>
      </c>
      <c r="U67" s="395"/>
    </row>
    <row r="68" spans="1:21" s="387" customFormat="1" ht="23.25" customHeight="1">
      <c r="A68" s="530">
        <v>8</v>
      </c>
      <c r="B68" s="532" t="s">
        <v>493</v>
      </c>
      <c r="C68" s="517">
        <f>SUM(C69:C71)</f>
        <v>357</v>
      </c>
      <c r="D68" s="517">
        <f aca="true" t="shared" si="20" ref="D68:Q68">SUM(D69:D71)</f>
        <v>253</v>
      </c>
      <c r="E68" s="517">
        <f t="shared" si="20"/>
        <v>104</v>
      </c>
      <c r="F68" s="517">
        <f t="shared" si="20"/>
        <v>0</v>
      </c>
      <c r="G68" s="517">
        <f t="shared" si="20"/>
        <v>0</v>
      </c>
      <c r="H68" s="517">
        <f t="shared" si="20"/>
        <v>357</v>
      </c>
      <c r="I68" s="517">
        <f t="shared" si="20"/>
        <v>141</v>
      </c>
      <c r="J68" s="517">
        <f t="shared" si="20"/>
        <v>59</v>
      </c>
      <c r="K68" s="517">
        <f t="shared" si="20"/>
        <v>0</v>
      </c>
      <c r="L68" s="517">
        <f t="shared" si="20"/>
        <v>80</v>
      </c>
      <c r="M68" s="517">
        <f t="shared" si="20"/>
        <v>0</v>
      </c>
      <c r="N68" s="517">
        <f t="shared" si="20"/>
        <v>2</v>
      </c>
      <c r="O68" s="517">
        <f t="shared" si="20"/>
        <v>0</v>
      </c>
      <c r="P68" s="517">
        <f t="shared" si="20"/>
        <v>0</v>
      </c>
      <c r="Q68" s="517">
        <f t="shared" si="20"/>
        <v>216</v>
      </c>
      <c r="R68" s="518">
        <f t="shared" si="3"/>
        <v>298</v>
      </c>
      <c r="S68" s="519">
        <f t="shared" si="1"/>
        <v>41.843971631205676</v>
      </c>
      <c r="T68" s="529">
        <f t="shared" si="8"/>
        <v>0</v>
      </c>
      <c r="U68" s="395"/>
    </row>
    <row r="69" spans="1:21" s="387" customFormat="1" ht="23.25" customHeight="1">
      <c r="A69" s="478" t="s">
        <v>494</v>
      </c>
      <c r="B69" s="475" t="s">
        <v>495</v>
      </c>
      <c r="C69" s="527">
        <f>D69+E69</f>
        <v>97</v>
      </c>
      <c r="D69" s="527">
        <v>56</v>
      </c>
      <c r="E69" s="527">
        <v>41</v>
      </c>
      <c r="F69" s="527">
        <v>0</v>
      </c>
      <c r="G69" s="527">
        <v>0</v>
      </c>
      <c r="H69" s="527">
        <f>I69+Q69</f>
        <v>97</v>
      </c>
      <c r="I69" s="527">
        <f>J69+K69+L69+M69+N69+O69+P69</f>
        <v>51</v>
      </c>
      <c r="J69" s="527">
        <v>26</v>
      </c>
      <c r="K69" s="527">
        <v>0</v>
      </c>
      <c r="L69" s="527">
        <v>25</v>
      </c>
      <c r="M69" s="527"/>
      <c r="N69" s="527"/>
      <c r="O69" s="527"/>
      <c r="P69" s="527"/>
      <c r="Q69" s="527">
        <v>46</v>
      </c>
      <c r="R69" s="523">
        <f t="shared" si="3"/>
        <v>71</v>
      </c>
      <c r="S69" s="520">
        <f t="shared" si="1"/>
        <v>50.98039215686274</v>
      </c>
      <c r="T69" s="471">
        <f t="shared" si="8"/>
        <v>0</v>
      </c>
      <c r="U69" s="395"/>
    </row>
    <row r="70" spans="1:21" s="387" customFormat="1" ht="23.25" customHeight="1">
      <c r="A70" s="478" t="s">
        <v>496</v>
      </c>
      <c r="B70" s="475" t="s">
        <v>497</v>
      </c>
      <c r="C70" s="527">
        <f>D70+E70</f>
        <v>100</v>
      </c>
      <c r="D70" s="527">
        <v>73</v>
      </c>
      <c r="E70" s="527">
        <v>27</v>
      </c>
      <c r="F70" s="527">
        <v>0</v>
      </c>
      <c r="G70" s="527">
        <v>0</v>
      </c>
      <c r="H70" s="527">
        <f>I70+Q70</f>
        <v>100</v>
      </c>
      <c r="I70" s="527">
        <f>J70+K70+L70+M70+N70+O70+P70</f>
        <v>38</v>
      </c>
      <c r="J70" s="527">
        <v>12</v>
      </c>
      <c r="K70" s="527">
        <v>0</v>
      </c>
      <c r="L70" s="527">
        <v>24</v>
      </c>
      <c r="M70" s="527"/>
      <c r="N70" s="527">
        <v>2</v>
      </c>
      <c r="O70" s="527"/>
      <c r="P70" s="527"/>
      <c r="Q70" s="527">
        <v>62</v>
      </c>
      <c r="R70" s="523">
        <f t="shared" si="3"/>
        <v>88</v>
      </c>
      <c r="S70" s="520">
        <f t="shared" si="1"/>
        <v>31.57894736842105</v>
      </c>
      <c r="T70" s="471">
        <f t="shared" si="8"/>
        <v>0</v>
      </c>
      <c r="U70" s="395"/>
    </row>
    <row r="71" spans="1:21" s="387" customFormat="1" ht="23.25" customHeight="1">
      <c r="A71" s="478" t="s">
        <v>552</v>
      </c>
      <c r="B71" s="475" t="s">
        <v>489</v>
      </c>
      <c r="C71" s="527">
        <f>D71+E71</f>
        <v>160</v>
      </c>
      <c r="D71" s="527">
        <v>124</v>
      </c>
      <c r="E71" s="527">
        <v>36</v>
      </c>
      <c r="F71" s="527">
        <v>0</v>
      </c>
      <c r="G71" s="527"/>
      <c r="H71" s="527">
        <f>I71+Q71</f>
        <v>160</v>
      </c>
      <c r="I71" s="527">
        <f>J71+K71+L71+M71+N71+O71+P71</f>
        <v>52</v>
      </c>
      <c r="J71" s="527">
        <v>21</v>
      </c>
      <c r="K71" s="527">
        <v>0</v>
      </c>
      <c r="L71" s="527">
        <v>31</v>
      </c>
      <c r="M71" s="527"/>
      <c r="N71" s="527"/>
      <c r="O71" s="527"/>
      <c r="P71" s="527"/>
      <c r="Q71" s="527">
        <v>108</v>
      </c>
      <c r="R71" s="523">
        <f t="shared" si="3"/>
        <v>139</v>
      </c>
      <c r="S71" s="520">
        <f t="shared" si="1"/>
        <v>40.38461538461539</v>
      </c>
      <c r="T71" s="471">
        <f t="shared" si="8"/>
        <v>0</v>
      </c>
      <c r="U71" s="395"/>
    </row>
    <row r="72" spans="1:21" s="387" customFormat="1" ht="23.25" customHeight="1">
      <c r="A72" s="530">
        <v>9</v>
      </c>
      <c r="B72" s="532" t="s">
        <v>498</v>
      </c>
      <c r="C72" s="517">
        <f>SUM(C73:C75)</f>
        <v>232</v>
      </c>
      <c r="D72" s="517">
        <f aca="true" t="shared" si="21" ref="D72:Q72">SUM(D73:D75)</f>
        <v>194</v>
      </c>
      <c r="E72" s="517">
        <f t="shared" si="21"/>
        <v>38</v>
      </c>
      <c r="F72" s="517">
        <f t="shared" si="21"/>
        <v>1</v>
      </c>
      <c r="G72" s="517">
        <f t="shared" si="21"/>
        <v>0</v>
      </c>
      <c r="H72" s="517">
        <f t="shared" si="21"/>
        <v>231</v>
      </c>
      <c r="I72" s="517">
        <f t="shared" si="21"/>
        <v>103</v>
      </c>
      <c r="J72" s="517">
        <f t="shared" si="21"/>
        <v>17</v>
      </c>
      <c r="K72" s="517">
        <f t="shared" si="21"/>
        <v>6</v>
      </c>
      <c r="L72" s="517">
        <f t="shared" si="21"/>
        <v>80</v>
      </c>
      <c r="M72" s="517">
        <f t="shared" si="21"/>
        <v>0</v>
      </c>
      <c r="N72" s="517">
        <f t="shared" si="21"/>
        <v>0</v>
      </c>
      <c r="O72" s="517">
        <f t="shared" si="21"/>
        <v>0</v>
      </c>
      <c r="P72" s="517">
        <f t="shared" si="21"/>
        <v>0</v>
      </c>
      <c r="Q72" s="517">
        <f t="shared" si="21"/>
        <v>128</v>
      </c>
      <c r="R72" s="518">
        <f t="shared" si="3"/>
        <v>208</v>
      </c>
      <c r="S72" s="519">
        <f t="shared" si="1"/>
        <v>22.330097087378643</v>
      </c>
      <c r="T72" s="529">
        <f t="shared" si="8"/>
        <v>0</v>
      </c>
      <c r="U72" s="395"/>
    </row>
    <row r="73" spans="1:21" s="387" customFormat="1" ht="23.25" customHeight="1">
      <c r="A73" s="478" t="s">
        <v>499</v>
      </c>
      <c r="B73" s="477" t="s">
        <v>500</v>
      </c>
      <c r="C73" s="545">
        <f>SUM(D73:E73)</f>
        <v>65</v>
      </c>
      <c r="D73" s="545">
        <v>48</v>
      </c>
      <c r="E73" s="545">
        <f>9+8</f>
        <v>17</v>
      </c>
      <c r="F73" s="545">
        <f>1</f>
        <v>1</v>
      </c>
      <c r="G73" s="545">
        <v>0</v>
      </c>
      <c r="H73" s="545">
        <f>SUM(I73,Q73)</f>
        <v>64</v>
      </c>
      <c r="I73" s="545">
        <f>SUM(J73:P73)</f>
        <v>23</v>
      </c>
      <c r="J73" s="545">
        <f>5+10</f>
        <v>15</v>
      </c>
      <c r="K73" s="545">
        <f>3</f>
        <v>3</v>
      </c>
      <c r="L73" s="545">
        <f>C73-J73-K73-M73-N73-O73-P73-Q73-F73-G73</f>
        <v>5</v>
      </c>
      <c r="M73" s="545">
        <v>0</v>
      </c>
      <c r="N73" s="545">
        <v>0</v>
      </c>
      <c r="O73" s="545">
        <v>0</v>
      </c>
      <c r="P73" s="547">
        <v>0</v>
      </c>
      <c r="Q73" s="546">
        <f>36+4+2-1</f>
        <v>41</v>
      </c>
      <c r="R73" s="523">
        <f t="shared" si="3"/>
        <v>46</v>
      </c>
      <c r="S73" s="520">
        <f t="shared" si="1"/>
        <v>78.26086956521739</v>
      </c>
      <c r="T73" s="471">
        <f t="shared" si="8"/>
        <v>0</v>
      </c>
      <c r="U73" s="395"/>
    </row>
    <row r="74" spans="1:21" s="387" customFormat="1" ht="23.25" customHeight="1">
      <c r="A74" s="478" t="s">
        <v>501</v>
      </c>
      <c r="B74" s="477" t="s">
        <v>502</v>
      </c>
      <c r="C74" s="545">
        <f>SUM(D74:E74)</f>
        <v>106</v>
      </c>
      <c r="D74" s="545">
        <v>97</v>
      </c>
      <c r="E74" s="545">
        <f>9</f>
        <v>9</v>
      </c>
      <c r="F74" s="545">
        <v>0</v>
      </c>
      <c r="G74" s="545">
        <v>0</v>
      </c>
      <c r="H74" s="545">
        <f>SUM(I74,Q74)</f>
        <v>106</v>
      </c>
      <c r="I74" s="545">
        <f>SUM(J74:P74)</f>
        <v>61</v>
      </c>
      <c r="J74" s="545">
        <f>0</f>
        <v>0</v>
      </c>
      <c r="K74" s="545">
        <f>1</f>
        <v>1</v>
      </c>
      <c r="L74" s="545">
        <f>C74-J74-K74-M74-N74-O74-P74-Q74-F74-G74</f>
        <v>60</v>
      </c>
      <c r="M74" s="545">
        <v>0</v>
      </c>
      <c r="N74" s="545">
        <v>0</v>
      </c>
      <c r="O74" s="545">
        <v>0</v>
      </c>
      <c r="P74" s="547">
        <v>0</v>
      </c>
      <c r="Q74" s="546">
        <f>47-8-4+6+4</f>
        <v>45</v>
      </c>
      <c r="R74" s="523">
        <f t="shared" si="3"/>
        <v>105</v>
      </c>
      <c r="S74" s="520">
        <f t="shared" si="1"/>
        <v>1.639344262295082</v>
      </c>
      <c r="T74" s="471">
        <f t="shared" si="8"/>
        <v>0</v>
      </c>
      <c r="U74" s="395"/>
    </row>
    <row r="75" spans="1:21" s="387" customFormat="1" ht="23.25" customHeight="1">
      <c r="A75" s="478" t="s">
        <v>503</v>
      </c>
      <c r="B75" s="477" t="s">
        <v>504</v>
      </c>
      <c r="C75" s="545">
        <f>SUM(D75:E75)</f>
        <v>61</v>
      </c>
      <c r="D75" s="545">
        <v>49</v>
      </c>
      <c r="E75" s="545">
        <f>12</f>
        <v>12</v>
      </c>
      <c r="F75" s="545">
        <v>0</v>
      </c>
      <c r="G75" s="545">
        <v>0</v>
      </c>
      <c r="H75" s="545">
        <f>SUM(I75,Q75)</f>
        <v>61</v>
      </c>
      <c r="I75" s="545">
        <f>SUM(J75:P75)</f>
        <v>19</v>
      </c>
      <c r="J75" s="545">
        <f>2</f>
        <v>2</v>
      </c>
      <c r="K75" s="545">
        <f>2</f>
        <v>2</v>
      </c>
      <c r="L75" s="545">
        <f>C75-J75-K75-M75-N75-O75-P75-Q75-F75-G75</f>
        <v>15</v>
      </c>
      <c r="M75" s="545">
        <v>0</v>
      </c>
      <c r="N75" s="545">
        <v>0</v>
      </c>
      <c r="O75" s="545">
        <v>0</v>
      </c>
      <c r="P75" s="547">
        <f>0</f>
        <v>0</v>
      </c>
      <c r="Q75" s="546">
        <f>32+1+5+4</f>
        <v>42</v>
      </c>
      <c r="R75" s="523">
        <f t="shared" si="3"/>
        <v>57</v>
      </c>
      <c r="S75" s="520">
        <f t="shared" si="1"/>
        <v>21.052631578947366</v>
      </c>
      <c r="T75" s="471">
        <f t="shared" si="8"/>
        <v>0</v>
      </c>
      <c r="U75" s="395"/>
    </row>
    <row r="76" spans="1:21" s="387" customFormat="1" ht="23.25" customHeight="1">
      <c r="A76" s="530">
        <v>10</v>
      </c>
      <c r="B76" s="532" t="s">
        <v>505</v>
      </c>
      <c r="C76" s="517">
        <f>SUM(C77:C85)</f>
        <v>1327</v>
      </c>
      <c r="D76" s="517">
        <f aca="true" t="shared" si="22" ref="D76:Q76">SUM(D77:D85)</f>
        <v>1170</v>
      </c>
      <c r="E76" s="517">
        <f t="shared" si="22"/>
        <v>157</v>
      </c>
      <c r="F76" s="517">
        <f t="shared" si="22"/>
        <v>1</v>
      </c>
      <c r="G76" s="517">
        <f t="shared" si="22"/>
        <v>0</v>
      </c>
      <c r="H76" s="517">
        <f t="shared" si="22"/>
        <v>1326</v>
      </c>
      <c r="I76" s="517">
        <f t="shared" si="22"/>
        <v>490</v>
      </c>
      <c r="J76" s="517">
        <f t="shared" si="22"/>
        <v>73</v>
      </c>
      <c r="K76" s="517">
        <f t="shared" si="22"/>
        <v>9</v>
      </c>
      <c r="L76" s="517">
        <f t="shared" si="22"/>
        <v>402</v>
      </c>
      <c r="M76" s="517">
        <f t="shared" si="22"/>
        <v>4</v>
      </c>
      <c r="N76" s="517">
        <f t="shared" si="22"/>
        <v>0</v>
      </c>
      <c r="O76" s="517">
        <f t="shared" si="22"/>
        <v>0</v>
      </c>
      <c r="P76" s="517">
        <f t="shared" si="22"/>
        <v>2</v>
      </c>
      <c r="Q76" s="517">
        <f t="shared" si="22"/>
        <v>836</v>
      </c>
      <c r="R76" s="518">
        <f t="shared" si="3"/>
        <v>1244</v>
      </c>
      <c r="S76" s="519">
        <f t="shared" si="1"/>
        <v>16.73469387755102</v>
      </c>
      <c r="T76" s="529">
        <f aca="true" t="shared" si="23" ref="T76:T111">H76-I76-Q76</f>
        <v>0</v>
      </c>
      <c r="U76" s="395"/>
    </row>
    <row r="77" spans="1:21" s="387" customFormat="1" ht="23.25" customHeight="1">
      <c r="A77" s="478" t="s">
        <v>532</v>
      </c>
      <c r="B77" s="482" t="s">
        <v>472</v>
      </c>
      <c r="C77" s="522">
        <f>D77+E77</f>
        <v>11</v>
      </c>
      <c r="D77" s="522">
        <v>2</v>
      </c>
      <c r="E77" s="522">
        <v>9</v>
      </c>
      <c r="F77" s="522">
        <v>0</v>
      </c>
      <c r="G77" s="522">
        <v>0</v>
      </c>
      <c r="H77" s="522">
        <v>11</v>
      </c>
      <c r="I77" s="522">
        <v>11</v>
      </c>
      <c r="J77" s="522">
        <v>7</v>
      </c>
      <c r="K77" s="522">
        <v>0</v>
      </c>
      <c r="L77" s="522">
        <v>4</v>
      </c>
      <c r="M77" s="522">
        <v>0</v>
      </c>
      <c r="N77" s="522">
        <v>0</v>
      </c>
      <c r="O77" s="522">
        <v>0</v>
      </c>
      <c r="P77" s="522">
        <v>0</v>
      </c>
      <c r="Q77" s="522">
        <v>0</v>
      </c>
      <c r="R77" s="523">
        <f aca="true" t="shared" si="24" ref="R77:R111">SUM(L77:Q77)</f>
        <v>4</v>
      </c>
      <c r="S77" s="520">
        <f aca="true" t="shared" si="25" ref="S77:S111">(J77+K77)/I77*100</f>
        <v>63.63636363636363</v>
      </c>
      <c r="T77" s="471">
        <f t="shared" si="23"/>
        <v>0</v>
      </c>
      <c r="U77" s="395"/>
    </row>
    <row r="78" spans="1:21" s="387" customFormat="1" ht="23.25" customHeight="1">
      <c r="A78" s="478" t="s">
        <v>581</v>
      </c>
      <c r="B78" s="482" t="s">
        <v>584</v>
      </c>
      <c r="C78" s="522">
        <f aca="true" t="shared" si="26" ref="C78:C85">D78+E78</f>
        <v>160</v>
      </c>
      <c r="D78" s="522">
        <v>139</v>
      </c>
      <c r="E78" s="522">
        <v>21</v>
      </c>
      <c r="F78" s="522">
        <v>0</v>
      </c>
      <c r="G78" s="522">
        <v>0</v>
      </c>
      <c r="H78" s="522">
        <v>160</v>
      </c>
      <c r="I78" s="522">
        <v>57</v>
      </c>
      <c r="J78" s="522">
        <v>15</v>
      </c>
      <c r="K78" s="522">
        <v>4</v>
      </c>
      <c r="L78" s="522">
        <v>37</v>
      </c>
      <c r="M78" s="522">
        <v>1</v>
      </c>
      <c r="N78" s="522">
        <v>0</v>
      </c>
      <c r="O78" s="522">
        <v>0</v>
      </c>
      <c r="P78" s="522">
        <v>0</v>
      </c>
      <c r="Q78" s="522">
        <v>103</v>
      </c>
      <c r="R78" s="523">
        <f t="shared" si="24"/>
        <v>141</v>
      </c>
      <c r="S78" s="520">
        <f t="shared" si="25"/>
        <v>33.33333333333333</v>
      </c>
      <c r="T78" s="471">
        <f t="shared" si="23"/>
        <v>0</v>
      </c>
      <c r="U78" s="395"/>
    </row>
    <row r="79" spans="1:21" s="387" customFormat="1" ht="23.25" customHeight="1">
      <c r="A79" s="478" t="s">
        <v>533</v>
      </c>
      <c r="B79" s="482" t="s">
        <v>506</v>
      </c>
      <c r="C79" s="522">
        <f t="shared" si="26"/>
        <v>179</v>
      </c>
      <c r="D79" s="522">
        <v>166</v>
      </c>
      <c r="E79" s="522">
        <v>13</v>
      </c>
      <c r="F79" s="522">
        <v>0</v>
      </c>
      <c r="G79" s="522">
        <v>0</v>
      </c>
      <c r="H79" s="522">
        <v>179</v>
      </c>
      <c r="I79" s="522">
        <v>60</v>
      </c>
      <c r="J79" s="522">
        <v>5</v>
      </c>
      <c r="K79" s="522">
        <v>1</v>
      </c>
      <c r="L79" s="522">
        <v>54</v>
      </c>
      <c r="M79" s="522">
        <v>0</v>
      </c>
      <c r="N79" s="522">
        <v>0</v>
      </c>
      <c r="O79" s="522">
        <v>0</v>
      </c>
      <c r="P79" s="522">
        <v>0</v>
      </c>
      <c r="Q79" s="522">
        <v>119</v>
      </c>
      <c r="R79" s="523">
        <f t="shared" si="24"/>
        <v>173</v>
      </c>
      <c r="S79" s="520">
        <f t="shared" si="25"/>
        <v>10</v>
      </c>
      <c r="T79" s="471">
        <f t="shared" si="23"/>
        <v>0</v>
      </c>
      <c r="U79" s="395"/>
    </row>
    <row r="80" spans="1:21" s="387" customFormat="1" ht="23.25" customHeight="1">
      <c r="A80" s="478" t="s">
        <v>534</v>
      </c>
      <c r="B80" s="482" t="s">
        <v>554</v>
      </c>
      <c r="C80" s="522">
        <f t="shared" si="26"/>
        <v>162</v>
      </c>
      <c r="D80" s="522">
        <v>147</v>
      </c>
      <c r="E80" s="522">
        <v>15</v>
      </c>
      <c r="F80" s="522">
        <v>0</v>
      </c>
      <c r="G80" s="522">
        <v>0</v>
      </c>
      <c r="H80" s="522">
        <v>162</v>
      </c>
      <c r="I80" s="522">
        <v>53</v>
      </c>
      <c r="J80" s="522">
        <v>6</v>
      </c>
      <c r="K80" s="522">
        <v>3</v>
      </c>
      <c r="L80" s="522">
        <v>42</v>
      </c>
      <c r="M80" s="522">
        <v>0</v>
      </c>
      <c r="N80" s="522">
        <v>0</v>
      </c>
      <c r="O80" s="522">
        <v>0</v>
      </c>
      <c r="P80" s="522">
        <v>2</v>
      </c>
      <c r="Q80" s="522">
        <v>109</v>
      </c>
      <c r="R80" s="523">
        <f t="shared" si="24"/>
        <v>153</v>
      </c>
      <c r="S80" s="520">
        <f t="shared" si="25"/>
        <v>16.9811320754717</v>
      </c>
      <c r="T80" s="471">
        <f t="shared" si="23"/>
        <v>0</v>
      </c>
      <c r="U80" s="395"/>
    </row>
    <row r="81" spans="1:21" s="387" customFormat="1" ht="23.25" customHeight="1">
      <c r="A81" s="478" t="s">
        <v>535</v>
      </c>
      <c r="B81" s="482" t="s">
        <v>507</v>
      </c>
      <c r="C81" s="522">
        <f t="shared" si="26"/>
        <v>161</v>
      </c>
      <c r="D81" s="522">
        <v>140</v>
      </c>
      <c r="E81" s="522">
        <v>21</v>
      </c>
      <c r="F81" s="522">
        <v>1</v>
      </c>
      <c r="G81" s="522">
        <v>0</v>
      </c>
      <c r="H81" s="522">
        <v>160</v>
      </c>
      <c r="I81" s="522">
        <v>79</v>
      </c>
      <c r="J81" s="522">
        <v>5</v>
      </c>
      <c r="K81" s="522">
        <v>0</v>
      </c>
      <c r="L81" s="522">
        <v>74</v>
      </c>
      <c r="M81" s="522">
        <v>0</v>
      </c>
      <c r="N81" s="522">
        <v>0</v>
      </c>
      <c r="O81" s="522">
        <v>0</v>
      </c>
      <c r="P81" s="522">
        <v>0</v>
      </c>
      <c r="Q81" s="522">
        <v>81</v>
      </c>
      <c r="R81" s="523">
        <f t="shared" si="24"/>
        <v>155</v>
      </c>
      <c r="S81" s="520">
        <f t="shared" si="25"/>
        <v>6.329113924050633</v>
      </c>
      <c r="T81" s="471">
        <f t="shared" si="23"/>
        <v>0</v>
      </c>
      <c r="U81" s="395"/>
    </row>
    <row r="82" spans="1:21" s="387" customFormat="1" ht="23.25" customHeight="1">
      <c r="A82" s="478" t="s">
        <v>536</v>
      </c>
      <c r="B82" s="482" t="s">
        <v>509</v>
      </c>
      <c r="C82" s="522">
        <f t="shared" si="26"/>
        <v>155</v>
      </c>
      <c r="D82" s="522">
        <v>133</v>
      </c>
      <c r="E82" s="522">
        <v>22</v>
      </c>
      <c r="F82" s="522">
        <v>0</v>
      </c>
      <c r="G82" s="522">
        <v>0</v>
      </c>
      <c r="H82" s="522">
        <v>155</v>
      </c>
      <c r="I82" s="522">
        <v>60</v>
      </c>
      <c r="J82" s="522">
        <v>9</v>
      </c>
      <c r="K82" s="522">
        <v>1</v>
      </c>
      <c r="L82" s="522">
        <v>50</v>
      </c>
      <c r="M82" s="522">
        <v>0</v>
      </c>
      <c r="N82" s="522">
        <v>0</v>
      </c>
      <c r="O82" s="522">
        <v>0</v>
      </c>
      <c r="P82" s="522">
        <v>0</v>
      </c>
      <c r="Q82" s="522">
        <v>95</v>
      </c>
      <c r="R82" s="523">
        <f t="shared" si="24"/>
        <v>145</v>
      </c>
      <c r="S82" s="520">
        <f t="shared" si="25"/>
        <v>16.666666666666664</v>
      </c>
      <c r="T82" s="471">
        <f t="shared" si="23"/>
        <v>0</v>
      </c>
      <c r="U82" s="395"/>
    </row>
    <row r="83" spans="1:21" s="387" customFormat="1" ht="23.25" customHeight="1">
      <c r="A83" s="478" t="s">
        <v>508</v>
      </c>
      <c r="B83" s="483" t="s">
        <v>555</v>
      </c>
      <c r="C83" s="522">
        <f t="shared" si="26"/>
        <v>172</v>
      </c>
      <c r="D83" s="528">
        <v>158</v>
      </c>
      <c r="E83" s="528">
        <v>14</v>
      </c>
      <c r="F83" s="528">
        <v>0</v>
      </c>
      <c r="G83" s="528">
        <v>0</v>
      </c>
      <c r="H83" s="528">
        <v>172</v>
      </c>
      <c r="I83" s="528">
        <v>78</v>
      </c>
      <c r="J83" s="528">
        <v>8</v>
      </c>
      <c r="K83" s="528">
        <v>0</v>
      </c>
      <c r="L83" s="528">
        <v>67</v>
      </c>
      <c r="M83" s="528">
        <v>3</v>
      </c>
      <c r="N83" s="528">
        <v>0</v>
      </c>
      <c r="O83" s="528">
        <v>0</v>
      </c>
      <c r="P83" s="528">
        <v>0</v>
      </c>
      <c r="Q83" s="528">
        <v>94</v>
      </c>
      <c r="R83" s="523">
        <f t="shared" si="24"/>
        <v>164</v>
      </c>
      <c r="S83" s="520">
        <f t="shared" si="25"/>
        <v>10.256410256410255</v>
      </c>
      <c r="T83" s="471">
        <f t="shared" si="23"/>
        <v>0</v>
      </c>
      <c r="U83" s="395"/>
    </row>
    <row r="84" spans="1:21" s="387" customFormat="1" ht="23.25" customHeight="1">
      <c r="A84" s="478" t="s">
        <v>510</v>
      </c>
      <c r="B84" s="482" t="s">
        <v>556</v>
      </c>
      <c r="C84" s="522">
        <f t="shared" si="26"/>
        <v>173</v>
      </c>
      <c r="D84" s="522">
        <v>151</v>
      </c>
      <c r="E84" s="522">
        <v>22</v>
      </c>
      <c r="F84" s="522">
        <v>0</v>
      </c>
      <c r="G84" s="522">
        <v>0</v>
      </c>
      <c r="H84" s="522">
        <v>173</v>
      </c>
      <c r="I84" s="522">
        <v>41</v>
      </c>
      <c r="J84" s="522">
        <v>10</v>
      </c>
      <c r="K84" s="522">
        <v>0</v>
      </c>
      <c r="L84" s="522">
        <v>31</v>
      </c>
      <c r="M84" s="522">
        <v>0</v>
      </c>
      <c r="N84" s="522">
        <v>0</v>
      </c>
      <c r="O84" s="522">
        <v>0</v>
      </c>
      <c r="P84" s="522">
        <v>0</v>
      </c>
      <c r="Q84" s="522">
        <v>132</v>
      </c>
      <c r="R84" s="523">
        <f t="shared" si="24"/>
        <v>163</v>
      </c>
      <c r="S84" s="520">
        <f t="shared" si="25"/>
        <v>24.390243902439025</v>
      </c>
      <c r="T84" s="471">
        <f t="shared" si="23"/>
        <v>0</v>
      </c>
      <c r="U84" s="395"/>
    </row>
    <row r="85" spans="1:21" s="387" customFormat="1" ht="23.25" customHeight="1">
      <c r="A85" s="478" t="s">
        <v>511</v>
      </c>
      <c r="B85" s="482" t="s">
        <v>512</v>
      </c>
      <c r="C85" s="522">
        <f t="shared" si="26"/>
        <v>154</v>
      </c>
      <c r="D85" s="522">
        <v>134</v>
      </c>
      <c r="E85" s="522">
        <v>20</v>
      </c>
      <c r="F85" s="522">
        <v>0</v>
      </c>
      <c r="G85" s="522">
        <v>0</v>
      </c>
      <c r="H85" s="522">
        <v>154</v>
      </c>
      <c r="I85" s="522">
        <v>51</v>
      </c>
      <c r="J85" s="522">
        <v>8</v>
      </c>
      <c r="K85" s="522">
        <v>0</v>
      </c>
      <c r="L85" s="522">
        <v>43</v>
      </c>
      <c r="M85" s="522">
        <v>0</v>
      </c>
      <c r="N85" s="522">
        <v>0</v>
      </c>
      <c r="O85" s="522">
        <v>0</v>
      </c>
      <c r="P85" s="522">
        <v>0</v>
      </c>
      <c r="Q85" s="522">
        <v>103</v>
      </c>
      <c r="R85" s="523">
        <f t="shared" si="24"/>
        <v>146</v>
      </c>
      <c r="S85" s="520">
        <f t="shared" si="25"/>
        <v>15.686274509803921</v>
      </c>
      <c r="T85" s="471">
        <f t="shared" si="23"/>
        <v>0</v>
      </c>
      <c r="U85" s="395"/>
    </row>
    <row r="86" spans="1:21" s="387" customFormat="1" ht="23.25" customHeight="1">
      <c r="A86" s="530">
        <v>11</v>
      </c>
      <c r="B86" s="532" t="s">
        <v>513</v>
      </c>
      <c r="C86" s="517">
        <f>SUM(C87:C88)</f>
        <v>107</v>
      </c>
      <c r="D86" s="517">
        <f aca="true" t="shared" si="27" ref="D86:Q86">SUM(D87:D88)</f>
        <v>60</v>
      </c>
      <c r="E86" s="517">
        <f t="shared" si="27"/>
        <v>47</v>
      </c>
      <c r="F86" s="517">
        <f t="shared" si="27"/>
        <v>0</v>
      </c>
      <c r="G86" s="517">
        <f t="shared" si="27"/>
        <v>0</v>
      </c>
      <c r="H86" s="517">
        <f t="shared" si="27"/>
        <v>107</v>
      </c>
      <c r="I86" s="517">
        <f t="shared" si="27"/>
        <v>63</v>
      </c>
      <c r="J86" s="517">
        <f t="shared" si="27"/>
        <v>39</v>
      </c>
      <c r="K86" s="517">
        <f t="shared" si="27"/>
        <v>0</v>
      </c>
      <c r="L86" s="517">
        <f t="shared" si="27"/>
        <v>21</v>
      </c>
      <c r="M86" s="517">
        <f t="shared" si="27"/>
        <v>0</v>
      </c>
      <c r="N86" s="517">
        <f t="shared" si="27"/>
        <v>0</v>
      </c>
      <c r="O86" s="517">
        <f t="shared" si="27"/>
        <v>0</v>
      </c>
      <c r="P86" s="517">
        <f t="shared" si="27"/>
        <v>3</v>
      </c>
      <c r="Q86" s="517">
        <f t="shared" si="27"/>
        <v>44</v>
      </c>
      <c r="R86" s="518">
        <f t="shared" si="24"/>
        <v>68</v>
      </c>
      <c r="S86" s="519">
        <f t="shared" si="25"/>
        <v>61.904761904761905</v>
      </c>
      <c r="T86" s="529">
        <f t="shared" si="23"/>
        <v>0</v>
      </c>
      <c r="U86" s="395"/>
    </row>
    <row r="87" spans="1:21" s="387" customFormat="1" ht="23.25" customHeight="1">
      <c r="A87" s="478" t="s">
        <v>514</v>
      </c>
      <c r="B87" s="475" t="s">
        <v>515</v>
      </c>
      <c r="C87" s="543">
        <f>D87+E87</f>
        <v>54</v>
      </c>
      <c r="D87" s="543">
        <v>26</v>
      </c>
      <c r="E87" s="543">
        <v>28</v>
      </c>
      <c r="F87" s="543">
        <v>0</v>
      </c>
      <c r="G87" s="543">
        <v>0</v>
      </c>
      <c r="H87" s="543">
        <f>I87+Q87</f>
        <v>54</v>
      </c>
      <c r="I87" s="543">
        <f>J87+K87+L87+M87+N87+O87+P87</f>
        <v>36</v>
      </c>
      <c r="J87" s="543">
        <v>23</v>
      </c>
      <c r="K87" s="543">
        <v>0</v>
      </c>
      <c r="L87" s="543">
        <v>12</v>
      </c>
      <c r="M87" s="543">
        <v>0</v>
      </c>
      <c r="N87" s="543">
        <v>0</v>
      </c>
      <c r="O87" s="543">
        <v>0</v>
      </c>
      <c r="P87" s="544">
        <v>1</v>
      </c>
      <c r="Q87" s="543">
        <v>18</v>
      </c>
      <c r="R87" s="523">
        <f t="shared" si="24"/>
        <v>31</v>
      </c>
      <c r="S87" s="520">
        <f t="shared" si="25"/>
        <v>63.888888888888886</v>
      </c>
      <c r="T87" s="471">
        <f t="shared" si="23"/>
        <v>0</v>
      </c>
      <c r="U87" s="395"/>
    </row>
    <row r="88" spans="1:21" s="387" customFormat="1" ht="23.25" customHeight="1">
      <c r="A88" s="478" t="s">
        <v>516</v>
      </c>
      <c r="B88" s="475" t="s">
        <v>517</v>
      </c>
      <c r="C88" s="543">
        <f>D88+E88</f>
        <v>53</v>
      </c>
      <c r="D88" s="543">
        <v>34</v>
      </c>
      <c r="E88" s="543">
        <v>19</v>
      </c>
      <c r="F88" s="543">
        <v>0</v>
      </c>
      <c r="G88" s="543">
        <v>0</v>
      </c>
      <c r="H88" s="543">
        <f>I88+Q88</f>
        <v>53</v>
      </c>
      <c r="I88" s="543">
        <f>J88+K88+L88+M88+N88+O88+P88</f>
        <v>27</v>
      </c>
      <c r="J88" s="543">
        <v>16</v>
      </c>
      <c r="K88" s="543">
        <v>0</v>
      </c>
      <c r="L88" s="543">
        <v>9</v>
      </c>
      <c r="M88" s="543">
        <v>0</v>
      </c>
      <c r="N88" s="543">
        <v>0</v>
      </c>
      <c r="O88" s="543">
        <v>0</v>
      </c>
      <c r="P88" s="544">
        <v>2</v>
      </c>
      <c r="Q88" s="543">
        <v>26</v>
      </c>
      <c r="R88" s="523">
        <f t="shared" si="24"/>
        <v>37</v>
      </c>
      <c r="S88" s="520">
        <f t="shared" si="25"/>
        <v>59.25925925925925</v>
      </c>
      <c r="T88" s="471">
        <f t="shared" si="23"/>
        <v>0</v>
      </c>
      <c r="U88" s="395"/>
    </row>
    <row r="89" spans="1:21" s="387" customFormat="1" ht="23.25" customHeight="1">
      <c r="A89" s="530">
        <v>12</v>
      </c>
      <c r="B89" s="532" t="s">
        <v>519</v>
      </c>
      <c r="C89" s="517">
        <f>SUM(C90:C92)</f>
        <v>268</v>
      </c>
      <c r="D89" s="517">
        <f aca="true" t="shared" si="28" ref="D89:Q89">SUM(D90:D92)</f>
        <v>162</v>
      </c>
      <c r="E89" s="517">
        <f t="shared" si="28"/>
        <v>106</v>
      </c>
      <c r="F89" s="517">
        <f t="shared" si="28"/>
        <v>0</v>
      </c>
      <c r="G89" s="517">
        <f t="shared" si="28"/>
        <v>0</v>
      </c>
      <c r="H89" s="517">
        <f t="shared" si="28"/>
        <v>268</v>
      </c>
      <c r="I89" s="517">
        <f t="shared" si="28"/>
        <v>155</v>
      </c>
      <c r="J89" s="517">
        <f t="shared" si="28"/>
        <v>67</v>
      </c>
      <c r="K89" s="517">
        <f t="shared" si="28"/>
        <v>4</v>
      </c>
      <c r="L89" s="517">
        <f t="shared" si="28"/>
        <v>84</v>
      </c>
      <c r="M89" s="517">
        <f t="shared" si="28"/>
        <v>0</v>
      </c>
      <c r="N89" s="517">
        <f t="shared" si="28"/>
        <v>0</v>
      </c>
      <c r="O89" s="517">
        <f t="shared" si="28"/>
        <v>0</v>
      </c>
      <c r="P89" s="517">
        <f t="shared" si="28"/>
        <v>0</v>
      </c>
      <c r="Q89" s="517">
        <f t="shared" si="28"/>
        <v>113</v>
      </c>
      <c r="R89" s="518">
        <f t="shared" si="24"/>
        <v>197</v>
      </c>
      <c r="S89" s="519">
        <f t="shared" si="25"/>
        <v>45.806451612903224</v>
      </c>
      <c r="T89" s="529">
        <f t="shared" si="23"/>
        <v>0</v>
      </c>
      <c r="U89" s="395"/>
    </row>
    <row r="90" spans="1:21" s="387" customFormat="1" ht="23.25" customHeight="1">
      <c r="A90" s="472">
        <v>12.1</v>
      </c>
      <c r="B90" s="475" t="s">
        <v>542</v>
      </c>
      <c r="C90" s="527">
        <f>D90+E90</f>
        <v>107</v>
      </c>
      <c r="D90" s="527">
        <v>28</v>
      </c>
      <c r="E90" s="527">
        <v>79</v>
      </c>
      <c r="F90" s="527">
        <v>0</v>
      </c>
      <c r="G90" s="527">
        <v>0</v>
      </c>
      <c r="H90" s="527">
        <f>C90-F90-G90</f>
        <v>107</v>
      </c>
      <c r="I90" s="527">
        <f>H90-Q90</f>
        <v>83</v>
      </c>
      <c r="J90" s="527">
        <v>51</v>
      </c>
      <c r="K90" s="527">
        <v>0</v>
      </c>
      <c r="L90" s="527">
        <v>32</v>
      </c>
      <c r="M90" s="527"/>
      <c r="N90" s="527"/>
      <c r="O90" s="527"/>
      <c r="P90" s="527"/>
      <c r="Q90" s="527">
        <v>24</v>
      </c>
      <c r="R90" s="523">
        <f t="shared" si="24"/>
        <v>56</v>
      </c>
      <c r="S90" s="520">
        <f t="shared" si="25"/>
        <v>61.44578313253012</v>
      </c>
      <c r="T90" s="471">
        <f t="shared" si="23"/>
        <v>0</v>
      </c>
      <c r="U90" s="395"/>
    </row>
    <row r="91" spans="1:21" s="387" customFormat="1" ht="23.25" customHeight="1">
      <c r="A91" s="472">
        <v>12.2</v>
      </c>
      <c r="B91" s="475" t="s">
        <v>520</v>
      </c>
      <c r="C91" s="527">
        <f>D91+E91</f>
        <v>117</v>
      </c>
      <c r="D91" s="527">
        <v>97</v>
      </c>
      <c r="E91" s="527">
        <v>20</v>
      </c>
      <c r="F91" s="527">
        <v>0</v>
      </c>
      <c r="G91" s="527">
        <v>0</v>
      </c>
      <c r="H91" s="527">
        <f>C91-F91-G91</f>
        <v>117</v>
      </c>
      <c r="I91" s="527">
        <f>H91-Q91</f>
        <v>51</v>
      </c>
      <c r="J91" s="527">
        <v>13</v>
      </c>
      <c r="K91" s="527">
        <v>3</v>
      </c>
      <c r="L91" s="527">
        <v>35</v>
      </c>
      <c r="M91" s="527">
        <v>0</v>
      </c>
      <c r="N91" s="527"/>
      <c r="O91" s="527"/>
      <c r="P91" s="527"/>
      <c r="Q91" s="527">
        <v>66</v>
      </c>
      <c r="R91" s="523">
        <f t="shared" si="24"/>
        <v>101</v>
      </c>
      <c r="S91" s="520">
        <f t="shared" si="25"/>
        <v>31.372549019607842</v>
      </c>
      <c r="T91" s="471">
        <f t="shared" si="23"/>
        <v>0</v>
      </c>
      <c r="U91" s="395"/>
    </row>
    <row r="92" spans="1:21" s="387" customFormat="1" ht="23.25" customHeight="1">
      <c r="A92" s="472">
        <v>12.3</v>
      </c>
      <c r="B92" s="475" t="s">
        <v>466</v>
      </c>
      <c r="C92" s="527">
        <f>D92+E92</f>
        <v>44</v>
      </c>
      <c r="D92" s="527">
        <v>37</v>
      </c>
      <c r="E92" s="527">
        <v>7</v>
      </c>
      <c r="F92" s="527">
        <v>0</v>
      </c>
      <c r="G92" s="527">
        <v>0</v>
      </c>
      <c r="H92" s="527">
        <f>C92-F92-G92</f>
        <v>44</v>
      </c>
      <c r="I92" s="527">
        <f>H92-Q92</f>
        <v>21</v>
      </c>
      <c r="J92" s="527">
        <v>3</v>
      </c>
      <c r="K92" s="527">
        <v>1</v>
      </c>
      <c r="L92" s="527">
        <v>17</v>
      </c>
      <c r="M92" s="527"/>
      <c r="N92" s="527"/>
      <c r="O92" s="527"/>
      <c r="P92" s="527"/>
      <c r="Q92" s="527">
        <v>23</v>
      </c>
      <c r="R92" s="523">
        <f t="shared" si="24"/>
        <v>40</v>
      </c>
      <c r="S92" s="520">
        <f t="shared" si="25"/>
        <v>19.047619047619047</v>
      </c>
      <c r="T92" s="471">
        <f t="shared" si="23"/>
        <v>0</v>
      </c>
      <c r="U92" s="395"/>
    </row>
    <row r="93" spans="1:21" s="387" customFormat="1" ht="23.25" customHeight="1">
      <c r="A93" s="530">
        <v>13</v>
      </c>
      <c r="B93" s="532" t="s">
        <v>521</v>
      </c>
      <c r="C93" s="517">
        <f>SUM(C94:C103)</f>
        <v>2261</v>
      </c>
      <c r="D93" s="517">
        <f aca="true" t="shared" si="29" ref="D93:Q93">SUM(D94:D103)</f>
        <v>1873</v>
      </c>
      <c r="E93" s="517">
        <f t="shared" si="29"/>
        <v>388</v>
      </c>
      <c r="F93" s="517">
        <f t="shared" si="29"/>
        <v>2</v>
      </c>
      <c r="G93" s="517">
        <f t="shared" si="29"/>
        <v>0</v>
      </c>
      <c r="H93" s="517">
        <f t="shared" si="29"/>
        <v>2259</v>
      </c>
      <c r="I93" s="517">
        <f t="shared" si="29"/>
        <v>990</v>
      </c>
      <c r="J93" s="517">
        <f t="shared" si="29"/>
        <v>182</v>
      </c>
      <c r="K93" s="517">
        <f t="shared" si="29"/>
        <v>6</v>
      </c>
      <c r="L93" s="517">
        <f t="shared" si="29"/>
        <v>802</v>
      </c>
      <c r="M93" s="517">
        <f t="shared" si="29"/>
        <v>0</v>
      </c>
      <c r="N93" s="517">
        <f t="shared" si="29"/>
        <v>0</v>
      </c>
      <c r="O93" s="517">
        <f t="shared" si="29"/>
        <v>0</v>
      </c>
      <c r="P93" s="517">
        <f t="shared" si="29"/>
        <v>0</v>
      </c>
      <c r="Q93" s="517">
        <f t="shared" si="29"/>
        <v>1269</v>
      </c>
      <c r="R93" s="518">
        <f t="shared" si="24"/>
        <v>2071</v>
      </c>
      <c r="S93" s="519">
        <f t="shared" si="25"/>
        <v>18.98989898989899</v>
      </c>
      <c r="T93" s="529">
        <f t="shared" si="23"/>
        <v>0</v>
      </c>
      <c r="U93" s="395"/>
    </row>
    <row r="94" spans="1:21" s="387" customFormat="1" ht="23.25" customHeight="1">
      <c r="A94" s="472">
        <v>13.1</v>
      </c>
      <c r="B94" s="484" t="s">
        <v>587</v>
      </c>
      <c r="C94" s="521">
        <f>D94+E94</f>
        <v>259</v>
      </c>
      <c r="D94" s="521">
        <v>146</v>
      </c>
      <c r="E94" s="521">
        <v>113</v>
      </c>
      <c r="F94" s="521">
        <v>0</v>
      </c>
      <c r="G94" s="521">
        <v>0</v>
      </c>
      <c r="H94" s="521">
        <f>I94+Q94</f>
        <v>259</v>
      </c>
      <c r="I94" s="521">
        <f>J94+K94+L94+M94+N94+O94+P94</f>
        <v>165</v>
      </c>
      <c r="J94" s="521">
        <v>66</v>
      </c>
      <c r="K94" s="521">
        <v>0</v>
      </c>
      <c r="L94" s="521">
        <v>99</v>
      </c>
      <c r="M94" s="521">
        <v>0</v>
      </c>
      <c r="N94" s="521">
        <v>0</v>
      </c>
      <c r="O94" s="521">
        <v>0</v>
      </c>
      <c r="P94" s="521">
        <v>0</v>
      </c>
      <c r="Q94" s="535">
        <v>94</v>
      </c>
      <c r="R94" s="523">
        <f t="shared" si="24"/>
        <v>193</v>
      </c>
      <c r="S94" s="520">
        <f t="shared" si="25"/>
        <v>40</v>
      </c>
      <c r="T94" s="471">
        <f t="shared" si="23"/>
        <v>0</v>
      </c>
      <c r="U94" s="395"/>
    </row>
    <row r="95" spans="1:21" s="387" customFormat="1" ht="23.25" customHeight="1">
      <c r="A95" s="472">
        <v>13.2</v>
      </c>
      <c r="B95" s="484" t="s">
        <v>522</v>
      </c>
      <c r="C95" s="521">
        <f aca="true" t="shared" si="30" ref="C95:C103">D95+E95</f>
        <v>203</v>
      </c>
      <c r="D95" s="521">
        <v>181</v>
      </c>
      <c r="E95" s="521">
        <v>22</v>
      </c>
      <c r="F95" s="521">
        <v>2</v>
      </c>
      <c r="G95" s="521">
        <v>0</v>
      </c>
      <c r="H95" s="521">
        <f aca="true" t="shared" si="31" ref="H95:H103">I95+Q95</f>
        <v>201</v>
      </c>
      <c r="I95" s="521">
        <f>J95+K95+L95+M95+N95+O95+P95</f>
        <v>60</v>
      </c>
      <c r="J95" s="521">
        <v>8</v>
      </c>
      <c r="K95" s="521">
        <v>0</v>
      </c>
      <c r="L95" s="521">
        <v>52</v>
      </c>
      <c r="M95" s="521">
        <v>0</v>
      </c>
      <c r="N95" s="521">
        <v>0</v>
      </c>
      <c r="O95" s="521">
        <v>0</v>
      </c>
      <c r="P95" s="521">
        <v>0</v>
      </c>
      <c r="Q95" s="535">
        <v>141</v>
      </c>
      <c r="R95" s="523">
        <f t="shared" si="24"/>
        <v>193</v>
      </c>
      <c r="S95" s="520">
        <f t="shared" si="25"/>
        <v>13.333333333333334</v>
      </c>
      <c r="T95" s="471">
        <f t="shared" si="23"/>
        <v>0</v>
      </c>
      <c r="U95" s="395"/>
    </row>
    <row r="96" spans="1:21" s="387" customFormat="1" ht="23.25" customHeight="1">
      <c r="A96" s="472">
        <v>13.3</v>
      </c>
      <c r="B96" s="484" t="s">
        <v>558</v>
      </c>
      <c r="C96" s="521">
        <f t="shared" si="30"/>
        <v>347</v>
      </c>
      <c r="D96" s="521">
        <v>289</v>
      </c>
      <c r="E96" s="521">
        <v>58</v>
      </c>
      <c r="F96" s="521">
        <v>0</v>
      </c>
      <c r="G96" s="521">
        <v>0</v>
      </c>
      <c r="H96" s="521">
        <f t="shared" si="31"/>
        <v>347</v>
      </c>
      <c r="I96" s="521">
        <f aca="true" t="shared" si="32" ref="I96:I103">J96+K96+L96+M96+N96+O96+P96</f>
        <v>137</v>
      </c>
      <c r="J96" s="521">
        <v>24</v>
      </c>
      <c r="K96" s="521">
        <v>0</v>
      </c>
      <c r="L96" s="521">
        <v>113</v>
      </c>
      <c r="M96" s="521">
        <v>0</v>
      </c>
      <c r="N96" s="521">
        <v>0</v>
      </c>
      <c r="O96" s="521">
        <v>0</v>
      </c>
      <c r="P96" s="521">
        <v>0</v>
      </c>
      <c r="Q96" s="535">
        <v>210</v>
      </c>
      <c r="R96" s="523">
        <f t="shared" si="24"/>
        <v>323</v>
      </c>
      <c r="S96" s="520">
        <f t="shared" si="25"/>
        <v>17.51824817518248</v>
      </c>
      <c r="T96" s="471">
        <f t="shared" si="23"/>
        <v>0</v>
      </c>
      <c r="U96" s="395"/>
    </row>
    <row r="97" spans="1:21" s="387" customFormat="1" ht="23.25" customHeight="1">
      <c r="A97" s="472">
        <v>13.4</v>
      </c>
      <c r="B97" s="485" t="s">
        <v>559</v>
      </c>
      <c r="C97" s="521">
        <f t="shared" si="30"/>
        <v>291</v>
      </c>
      <c r="D97" s="521">
        <v>250</v>
      </c>
      <c r="E97" s="521">
        <v>41</v>
      </c>
      <c r="F97" s="521">
        <v>0</v>
      </c>
      <c r="G97" s="521">
        <v>0</v>
      </c>
      <c r="H97" s="521">
        <f>I97+Q97</f>
        <v>291</v>
      </c>
      <c r="I97" s="521">
        <f t="shared" si="32"/>
        <v>104</v>
      </c>
      <c r="J97" s="521">
        <v>9</v>
      </c>
      <c r="K97" s="521">
        <v>2</v>
      </c>
      <c r="L97" s="521">
        <v>93</v>
      </c>
      <c r="M97" s="521">
        <v>0</v>
      </c>
      <c r="N97" s="521">
        <v>0</v>
      </c>
      <c r="O97" s="521">
        <v>0</v>
      </c>
      <c r="P97" s="521">
        <v>0</v>
      </c>
      <c r="Q97" s="535">
        <v>187</v>
      </c>
      <c r="R97" s="523">
        <f t="shared" si="24"/>
        <v>280</v>
      </c>
      <c r="S97" s="520">
        <f t="shared" si="25"/>
        <v>10.576923076923077</v>
      </c>
      <c r="T97" s="471">
        <f t="shared" si="23"/>
        <v>0</v>
      </c>
      <c r="U97" s="395"/>
    </row>
    <row r="98" spans="1:21" s="387" customFormat="1" ht="23.25" customHeight="1">
      <c r="A98" s="472">
        <v>13.5</v>
      </c>
      <c r="B98" s="486" t="s">
        <v>588</v>
      </c>
      <c r="C98" s="521">
        <f>D98+E98</f>
        <v>148</v>
      </c>
      <c r="D98" s="521">
        <v>123</v>
      </c>
      <c r="E98" s="521">
        <v>25</v>
      </c>
      <c r="F98" s="521">
        <v>0</v>
      </c>
      <c r="G98" s="521">
        <v>0</v>
      </c>
      <c r="H98" s="521">
        <f t="shared" si="31"/>
        <v>148</v>
      </c>
      <c r="I98" s="521">
        <f t="shared" si="32"/>
        <v>69</v>
      </c>
      <c r="J98" s="521">
        <v>12</v>
      </c>
      <c r="K98" s="521">
        <v>0</v>
      </c>
      <c r="L98" s="521">
        <v>57</v>
      </c>
      <c r="M98" s="521">
        <v>0</v>
      </c>
      <c r="N98" s="521">
        <v>0</v>
      </c>
      <c r="O98" s="521">
        <v>0</v>
      </c>
      <c r="P98" s="521">
        <v>0</v>
      </c>
      <c r="Q98" s="535">
        <v>79</v>
      </c>
      <c r="R98" s="523">
        <f t="shared" si="24"/>
        <v>136</v>
      </c>
      <c r="S98" s="520">
        <f t="shared" si="25"/>
        <v>17.391304347826086</v>
      </c>
      <c r="T98" s="471">
        <f t="shared" si="23"/>
        <v>0</v>
      </c>
      <c r="U98" s="395"/>
    </row>
    <row r="99" spans="1:21" s="387" customFormat="1" ht="23.25" customHeight="1">
      <c r="A99" s="472">
        <v>13.6</v>
      </c>
      <c r="B99" s="486" t="s">
        <v>560</v>
      </c>
      <c r="C99" s="521">
        <f t="shared" si="30"/>
        <v>244</v>
      </c>
      <c r="D99" s="521">
        <v>217</v>
      </c>
      <c r="E99" s="521">
        <v>27</v>
      </c>
      <c r="F99" s="521">
        <v>0</v>
      </c>
      <c r="G99" s="521">
        <v>0</v>
      </c>
      <c r="H99" s="521">
        <f t="shared" si="31"/>
        <v>244</v>
      </c>
      <c r="I99" s="521">
        <f t="shared" si="32"/>
        <v>103</v>
      </c>
      <c r="J99" s="521">
        <v>16</v>
      </c>
      <c r="K99" s="521">
        <v>4</v>
      </c>
      <c r="L99" s="521">
        <v>83</v>
      </c>
      <c r="M99" s="521">
        <v>0</v>
      </c>
      <c r="N99" s="521">
        <v>0</v>
      </c>
      <c r="O99" s="521">
        <v>0</v>
      </c>
      <c r="P99" s="521">
        <v>0</v>
      </c>
      <c r="Q99" s="535">
        <v>141</v>
      </c>
      <c r="R99" s="523">
        <f t="shared" si="24"/>
        <v>224</v>
      </c>
      <c r="S99" s="520">
        <f t="shared" si="25"/>
        <v>19.41747572815534</v>
      </c>
      <c r="T99" s="471">
        <f t="shared" si="23"/>
        <v>0</v>
      </c>
      <c r="U99" s="395"/>
    </row>
    <row r="100" spans="1:21" s="387" customFormat="1" ht="23.25" customHeight="1">
      <c r="A100" s="472">
        <v>13.7</v>
      </c>
      <c r="B100" s="486" t="s">
        <v>589</v>
      </c>
      <c r="C100" s="521">
        <f t="shared" si="30"/>
        <v>222</v>
      </c>
      <c r="D100" s="521">
        <v>187</v>
      </c>
      <c r="E100" s="521">
        <v>35</v>
      </c>
      <c r="F100" s="521">
        <v>0</v>
      </c>
      <c r="G100" s="521">
        <v>0</v>
      </c>
      <c r="H100" s="521">
        <f t="shared" si="31"/>
        <v>222</v>
      </c>
      <c r="I100" s="521">
        <f>J100+K100+L100+M100+N100+O100+P100</f>
        <v>89</v>
      </c>
      <c r="J100" s="521">
        <v>16</v>
      </c>
      <c r="K100" s="521">
        <v>0</v>
      </c>
      <c r="L100" s="521">
        <v>73</v>
      </c>
      <c r="M100" s="521">
        <v>0</v>
      </c>
      <c r="N100" s="521">
        <v>0</v>
      </c>
      <c r="O100" s="521">
        <v>0</v>
      </c>
      <c r="P100" s="521">
        <v>0</v>
      </c>
      <c r="Q100" s="535">
        <v>133</v>
      </c>
      <c r="R100" s="523">
        <f t="shared" si="24"/>
        <v>206</v>
      </c>
      <c r="S100" s="520">
        <f t="shared" si="25"/>
        <v>17.97752808988764</v>
      </c>
      <c r="T100" s="471">
        <f t="shared" si="23"/>
        <v>0</v>
      </c>
      <c r="U100" s="395"/>
    </row>
    <row r="101" spans="1:21" s="387" customFormat="1" ht="23.25" customHeight="1">
      <c r="A101" s="472">
        <v>13.8</v>
      </c>
      <c r="B101" s="484" t="s">
        <v>590</v>
      </c>
      <c r="C101" s="521">
        <f t="shared" si="30"/>
        <v>176</v>
      </c>
      <c r="D101" s="521">
        <v>152</v>
      </c>
      <c r="E101" s="521">
        <v>24</v>
      </c>
      <c r="F101" s="521">
        <v>0</v>
      </c>
      <c r="G101" s="521">
        <v>0</v>
      </c>
      <c r="H101" s="521">
        <f t="shared" si="31"/>
        <v>176</v>
      </c>
      <c r="I101" s="521">
        <f t="shared" si="32"/>
        <v>63</v>
      </c>
      <c r="J101" s="521">
        <v>8</v>
      </c>
      <c r="K101" s="521">
        <v>0</v>
      </c>
      <c r="L101" s="521">
        <v>55</v>
      </c>
      <c r="M101" s="521">
        <v>0</v>
      </c>
      <c r="N101" s="521">
        <v>0</v>
      </c>
      <c r="O101" s="521">
        <v>0</v>
      </c>
      <c r="P101" s="521">
        <v>0</v>
      </c>
      <c r="Q101" s="535">
        <v>113</v>
      </c>
      <c r="R101" s="523">
        <f t="shared" si="24"/>
        <v>168</v>
      </c>
      <c r="S101" s="520">
        <f t="shared" si="25"/>
        <v>12.698412698412698</v>
      </c>
      <c r="T101" s="471">
        <f t="shared" si="23"/>
        <v>0</v>
      </c>
      <c r="U101" s="395"/>
    </row>
    <row r="102" spans="1:21" s="387" customFormat="1" ht="23.25" customHeight="1">
      <c r="A102" s="472">
        <v>13.9</v>
      </c>
      <c r="B102" s="484" t="s">
        <v>561</v>
      </c>
      <c r="C102" s="521">
        <f t="shared" si="30"/>
        <v>240</v>
      </c>
      <c r="D102" s="521">
        <v>224</v>
      </c>
      <c r="E102" s="521">
        <v>16</v>
      </c>
      <c r="F102" s="521">
        <v>0</v>
      </c>
      <c r="G102" s="521">
        <v>0</v>
      </c>
      <c r="H102" s="521">
        <f t="shared" si="31"/>
        <v>240</v>
      </c>
      <c r="I102" s="521">
        <f t="shared" si="32"/>
        <v>137</v>
      </c>
      <c r="J102" s="521">
        <v>8</v>
      </c>
      <c r="K102" s="521">
        <v>0</v>
      </c>
      <c r="L102" s="521">
        <v>129</v>
      </c>
      <c r="M102" s="521">
        <v>0</v>
      </c>
      <c r="N102" s="521">
        <v>0</v>
      </c>
      <c r="O102" s="521">
        <v>0</v>
      </c>
      <c r="P102" s="521">
        <v>0</v>
      </c>
      <c r="Q102" s="535">
        <v>103</v>
      </c>
      <c r="R102" s="523">
        <f t="shared" si="24"/>
        <v>232</v>
      </c>
      <c r="S102" s="520">
        <f t="shared" si="25"/>
        <v>5.839416058394161</v>
      </c>
      <c r="T102" s="471">
        <f t="shared" si="23"/>
        <v>0</v>
      </c>
      <c r="U102" s="395"/>
    </row>
    <row r="103" spans="1:21" s="387" customFormat="1" ht="23.25" customHeight="1">
      <c r="A103" s="472" t="s">
        <v>562</v>
      </c>
      <c r="B103" s="484" t="s">
        <v>462</v>
      </c>
      <c r="C103" s="521">
        <f t="shared" si="30"/>
        <v>131</v>
      </c>
      <c r="D103" s="521">
        <v>104</v>
      </c>
      <c r="E103" s="521">
        <v>27</v>
      </c>
      <c r="F103" s="521"/>
      <c r="G103" s="521">
        <v>0</v>
      </c>
      <c r="H103" s="521">
        <f t="shared" si="31"/>
        <v>131</v>
      </c>
      <c r="I103" s="521">
        <f t="shared" si="32"/>
        <v>63</v>
      </c>
      <c r="J103" s="521">
        <v>15</v>
      </c>
      <c r="K103" s="521">
        <v>0</v>
      </c>
      <c r="L103" s="521">
        <v>48</v>
      </c>
      <c r="M103" s="521">
        <v>0</v>
      </c>
      <c r="N103" s="521">
        <v>0</v>
      </c>
      <c r="O103" s="521">
        <v>0</v>
      </c>
      <c r="P103" s="521">
        <v>0</v>
      </c>
      <c r="Q103" s="535">
        <v>68</v>
      </c>
      <c r="R103" s="523">
        <f t="shared" si="24"/>
        <v>116</v>
      </c>
      <c r="S103" s="520">
        <f t="shared" si="25"/>
        <v>23.809523809523807</v>
      </c>
      <c r="T103" s="471">
        <f t="shared" si="23"/>
        <v>0</v>
      </c>
      <c r="U103" s="395"/>
    </row>
    <row r="104" spans="1:21" s="387" customFormat="1" ht="23.25" customHeight="1">
      <c r="A104" s="530">
        <v>14</v>
      </c>
      <c r="B104" s="532" t="s">
        <v>523</v>
      </c>
      <c r="C104" s="517">
        <f>C105+C106</f>
        <v>369</v>
      </c>
      <c r="D104" s="517">
        <f aca="true" t="shared" si="33" ref="D104:Q104">D105+D106</f>
        <v>247</v>
      </c>
      <c r="E104" s="517">
        <f t="shared" si="33"/>
        <v>122</v>
      </c>
      <c r="F104" s="517">
        <f t="shared" si="33"/>
        <v>2</v>
      </c>
      <c r="G104" s="517">
        <f t="shared" si="33"/>
        <v>0</v>
      </c>
      <c r="H104" s="517">
        <f t="shared" si="33"/>
        <v>367</v>
      </c>
      <c r="I104" s="517">
        <f t="shared" si="33"/>
        <v>243</v>
      </c>
      <c r="J104" s="517">
        <f t="shared" si="33"/>
        <v>43</v>
      </c>
      <c r="K104" s="517">
        <f t="shared" si="33"/>
        <v>2</v>
      </c>
      <c r="L104" s="517">
        <f t="shared" si="33"/>
        <v>198</v>
      </c>
      <c r="M104" s="517">
        <f t="shared" si="33"/>
        <v>0</v>
      </c>
      <c r="N104" s="517">
        <f t="shared" si="33"/>
        <v>0</v>
      </c>
      <c r="O104" s="517">
        <f t="shared" si="33"/>
        <v>0</v>
      </c>
      <c r="P104" s="517">
        <f t="shared" si="33"/>
        <v>0</v>
      </c>
      <c r="Q104" s="517">
        <f t="shared" si="33"/>
        <v>124</v>
      </c>
      <c r="R104" s="518">
        <f t="shared" si="24"/>
        <v>322</v>
      </c>
      <c r="S104" s="519">
        <f t="shared" si="25"/>
        <v>18.51851851851852</v>
      </c>
      <c r="T104" s="529">
        <f t="shared" si="23"/>
        <v>0</v>
      </c>
      <c r="U104" s="395"/>
    </row>
    <row r="105" spans="1:21" s="387" customFormat="1" ht="23.25" customHeight="1">
      <c r="A105" s="478" t="s">
        <v>524</v>
      </c>
      <c r="B105" s="475" t="s">
        <v>525</v>
      </c>
      <c r="C105" s="521">
        <f>D105+E105</f>
        <v>181</v>
      </c>
      <c r="D105" s="521" t="s">
        <v>585</v>
      </c>
      <c r="E105" s="521" t="s">
        <v>591</v>
      </c>
      <c r="F105" s="521" t="s">
        <v>44</v>
      </c>
      <c r="G105" s="521" t="s">
        <v>543</v>
      </c>
      <c r="H105" s="521">
        <f>I105+Q105</f>
        <v>179</v>
      </c>
      <c r="I105" s="521">
        <f>P105+O105+N105+M105+L105+K105+J105</f>
        <v>117</v>
      </c>
      <c r="J105" s="521" t="s">
        <v>247</v>
      </c>
      <c r="K105" s="521" t="s">
        <v>543</v>
      </c>
      <c r="L105" s="521" t="s">
        <v>592</v>
      </c>
      <c r="M105" s="521" t="s">
        <v>543</v>
      </c>
      <c r="N105" s="521" t="s">
        <v>543</v>
      </c>
      <c r="O105" s="537" t="s">
        <v>543</v>
      </c>
      <c r="P105" s="535" t="s">
        <v>543</v>
      </c>
      <c r="Q105" s="535">
        <v>62</v>
      </c>
      <c r="R105" s="523">
        <f t="shared" si="24"/>
        <v>62</v>
      </c>
      <c r="S105" s="520">
        <f t="shared" si="25"/>
        <v>13.675213675213676</v>
      </c>
      <c r="T105" s="471">
        <f t="shared" si="23"/>
        <v>0</v>
      </c>
      <c r="U105" s="395"/>
    </row>
    <row r="106" spans="1:21" s="387" customFormat="1" ht="23.25" customHeight="1">
      <c r="A106" s="478" t="s">
        <v>526</v>
      </c>
      <c r="B106" s="475" t="s">
        <v>527</v>
      </c>
      <c r="C106" s="521">
        <f>D106+E106</f>
        <v>188</v>
      </c>
      <c r="D106" s="521" t="s">
        <v>586</v>
      </c>
      <c r="E106" s="521" t="s">
        <v>591</v>
      </c>
      <c r="F106" s="521" t="s">
        <v>543</v>
      </c>
      <c r="G106" s="521" t="s">
        <v>543</v>
      </c>
      <c r="H106" s="521">
        <f>I106+Q106</f>
        <v>188</v>
      </c>
      <c r="I106" s="521">
        <f>P106+O106+N106+M106+L106+K106+J106</f>
        <v>126</v>
      </c>
      <c r="J106" s="521" t="s">
        <v>593</v>
      </c>
      <c r="K106" s="521" t="s">
        <v>44</v>
      </c>
      <c r="L106" s="521" t="s">
        <v>594</v>
      </c>
      <c r="M106" s="521" t="s">
        <v>543</v>
      </c>
      <c r="N106" s="521" t="s">
        <v>543</v>
      </c>
      <c r="O106" s="537" t="s">
        <v>543</v>
      </c>
      <c r="P106" s="535" t="s">
        <v>543</v>
      </c>
      <c r="Q106" s="535">
        <v>62</v>
      </c>
      <c r="R106" s="523">
        <f t="shared" si="24"/>
        <v>62</v>
      </c>
      <c r="S106" s="520">
        <f t="shared" si="25"/>
        <v>23.015873015873016</v>
      </c>
      <c r="T106" s="471">
        <f t="shared" si="23"/>
        <v>0</v>
      </c>
      <c r="U106" s="395"/>
    </row>
    <row r="107" spans="1:21" s="387" customFormat="1" ht="23.25" customHeight="1">
      <c r="A107" s="530">
        <v>15</v>
      </c>
      <c r="B107" s="532" t="s">
        <v>528</v>
      </c>
      <c r="C107" s="517">
        <f>SUM(C108:C111)</f>
        <v>221</v>
      </c>
      <c r="D107" s="517">
        <f aca="true" t="shared" si="34" ref="D107:R107">SUM(D108:D111)</f>
        <v>168</v>
      </c>
      <c r="E107" s="517">
        <f t="shared" si="34"/>
        <v>53</v>
      </c>
      <c r="F107" s="517">
        <f t="shared" si="34"/>
        <v>1</v>
      </c>
      <c r="G107" s="517">
        <f t="shared" si="34"/>
        <v>0</v>
      </c>
      <c r="H107" s="517">
        <f t="shared" si="34"/>
        <v>220</v>
      </c>
      <c r="I107" s="517">
        <f t="shared" si="34"/>
        <v>103</v>
      </c>
      <c r="J107" s="517">
        <f t="shared" si="34"/>
        <v>32</v>
      </c>
      <c r="K107" s="517">
        <f t="shared" si="34"/>
        <v>0</v>
      </c>
      <c r="L107" s="517">
        <f t="shared" si="34"/>
        <v>71</v>
      </c>
      <c r="M107" s="517">
        <f t="shared" si="34"/>
        <v>0</v>
      </c>
      <c r="N107" s="517">
        <f t="shared" si="34"/>
        <v>0</v>
      </c>
      <c r="O107" s="517">
        <f t="shared" si="34"/>
        <v>0</v>
      </c>
      <c r="P107" s="517">
        <f t="shared" si="34"/>
        <v>0</v>
      </c>
      <c r="Q107" s="517">
        <f t="shared" si="34"/>
        <v>117</v>
      </c>
      <c r="R107" s="517">
        <f t="shared" si="34"/>
        <v>188</v>
      </c>
      <c r="S107" s="519">
        <f t="shared" si="25"/>
        <v>31.06796116504854</v>
      </c>
      <c r="T107" s="529">
        <f t="shared" si="23"/>
        <v>0</v>
      </c>
      <c r="U107" s="395"/>
    </row>
    <row r="108" spans="1:21" s="387" customFormat="1" ht="23.25" customHeight="1">
      <c r="A108" s="472">
        <v>15.1</v>
      </c>
      <c r="B108" s="480" t="s">
        <v>529</v>
      </c>
      <c r="C108" s="521">
        <f>D108+E108</f>
        <v>34</v>
      </c>
      <c r="D108" s="521">
        <v>20</v>
      </c>
      <c r="E108" s="521">
        <v>14</v>
      </c>
      <c r="F108" s="521">
        <v>1</v>
      </c>
      <c r="G108" s="521">
        <v>0</v>
      </c>
      <c r="H108" s="521">
        <f>I108+Q108</f>
        <v>33</v>
      </c>
      <c r="I108" s="521">
        <f>J108+K108+L108+M108+N108+O108+P108</f>
        <v>23</v>
      </c>
      <c r="J108" s="521">
        <v>10</v>
      </c>
      <c r="K108" s="521">
        <v>0</v>
      </c>
      <c r="L108" s="521">
        <f>C108-F108-J108-K108-M108-N108-O108-P108-Q108</f>
        <v>13</v>
      </c>
      <c r="M108" s="521">
        <v>0</v>
      </c>
      <c r="N108" s="521">
        <v>0</v>
      </c>
      <c r="O108" s="521">
        <v>0</v>
      </c>
      <c r="P108" s="521">
        <v>0</v>
      </c>
      <c r="Q108" s="535">
        <v>10</v>
      </c>
      <c r="R108" s="523">
        <f t="shared" si="24"/>
        <v>23</v>
      </c>
      <c r="S108" s="520">
        <f t="shared" si="25"/>
        <v>43.47826086956522</v>
      </c>
      <c r="T108" s="471">
        <f t="shared" si="23"/>
        <v>0</v>
      </c>
      <c r="U108" s="395"/>
    </row>
    <row r="109" spans="1:21" s="387" customFormat="1" ht="23.25" customHeight="1">
      <c r="A109" s="472">
        <v>15.2</v>
      </c>
      <c r="B109" s="480" t="s">
        <v>563</v>
      </c>
      <c r="C109" s="521">
        <f>D109+E109</f>
        <v>74</v>
      </c>
      <c r="D109" s="521">
        <v>61</v>
      </c>
      <c r="E109" s="521">
        <v>13</v>
      </c>
      <c r="F109" s="521">
        <v>0</v>
      </c>
      <c r="G109" s="521">
        <v>0</v>
      </c>
      <c r="H109" s="521">
        <f>I109+Q109</f>
        <v>74</v>
      </c>
      <c r="I109" s="521">
        <f>J109+K109+L109+M109+N109+O109+P109</f>
        <v>31</v>
      </c>
      <c r="J109" s="521">
        <v>7</v>
      </c>
      <c r="K109" s="521">
        <v>0</v>
      </c>
      <c r="L109" s="521">
        <f>C109-F109-J109-K109-M109-N109-O109-P109-Q109</f>
        <v>24</v>
      </c>
      <c r="M109" s="521">
        <v>0</v>
      </c>
      <c r="N109" s="521">
        <v>0</v>
      </c>
      <c r="O109" s="521" t="s">
        <v>543</v>
      </c>
      <c r="P109" s="521" t="s">
        <v>543</v>
      </c>
      <c r="Q109" s="535">
        <v>43</v>
      </c>
      <c r="R109" s="523">
        <f t="shared" si="24"/>
        <v>67</v>
      </c>
      <c r="S109" s="520">
        <f t="shared" si="25"/>
        <v>22.58064516129032</v>
      </c>
      <c r="T109" s="471">
        <f t="shared" si="23"/>
        <v>0</v>
      </c>
      <c r="U109" s="395"/>
    </row>
    <row r="110" spans="1:21" s="387" customFormat="1" ht="23.25" customHeight="1">
      <c r="A110" s="472">
        <v>15.3</v>
      </c>
      <c r="B110" s="480" t="s">
        <v>564</v>
      </c>
      <c r="C110" s="521">
        <f>D110+E110</f>
        <v>58</v>
      </c>
      <c r="D110" s="521">
        <v>41</v>
      </c>
      <c r="E110" s="521">
        <v>17</v>
      </c>
      <c r="F110" s="521">
        <v>0</v>
      </c>
      <c r="G110" s="521">
        <v>0</v>
      </c>
      <c r="H110" s="521">
        <f>I110+Q110</f>
        <v>58</v>
      </c>
      <c r="I110" s="521">
        <f>J110+K110+L110+M110+N110+O110+P110</f>
        <v>24</v>
      </c>
      <c r="J110" s="521">
        <v>9</v>
      </c>
      <c r="K110" s="521">
        <v>0</v>
      </c>
      <c r="L110" s="521">
        <f>C110-F110-J110-K110-M110-N110-O110-P110-Q110</f>
        <v>15</v>
      </c>
      <c r="M110" s="521">
        <v>0</v>
      </c>
      <c r="N110" s="521">
        <v>0</v>
      </c>
      <c r="O110" s="521">
        <v>0</v>
      </c>
      <c r="P110" s="521">
        <v>0</v>
      </c>
      <c r="Q110" s="535">
        <v>34</v>
      </c>
      <c r="R110" s="523">
        <f t="shared" si="24"/>
        <v>49</v>
      </c>
      <c r="S110" s="520">
        <f t="shared" si="25"/>
        <v>37.5</v>
      </c>
      <c r="T110" s="471">
        <f t="shared" si="23"/>
        <v>0</v>
      </c>
      <c r="U110" s="395"/>
    </row>
    <row r="111" spans="1:21" s="398" customFormat="1" ht="29.25" customHeight="1">
      <c r="A111" s="472">
        <v>15.4</v>
      </c>
      <c r="B111" s="480" t="s">
        <v>565</v>
      </c>
      <c r="C111" s="521">
        <f>D111+E111</f>
        <v>55</v>
      </c>
      <c r="D111" s="521">
        <v>46</v>
      </c>
      <c r="E111" s="521">
        <v>9</v>
      </c>
      <c r="F111" s="521">
        <v>0</v>
      </c>
      <c r="G111" s="521">
        <v>0</v>
      </c>
      <c r="H111" s="521">
        <f>I111+Q111</f>
        <v>55</v>
      </c>
      <c r="I111" s="521">
        <f>J111+K111+L111+M111+N111+O111+P111</f>
        <v>25</v>
      </c>
      <c r="J111" s="521">
        <v>6</v>
      </c>
      <c r="K111" s="521">
        <v>0</v>
      </c>
      <c r="L111" s="521">
        <f>C111-F111-J111-K111-M111-N111-O111-P111-Q111</f>
        <v>19</v>
      </c>
      <c r="M111" s="521">
        <v>0</v>
      </c>
      <c r="N111" s="521">
        <v>0</v>
      </c>
      <c r="O111" s="521" t="s">
        <v>543</v>
      </c>
      <c r="P111" s="521" t="s">
        <v>543</v>
      </c>
      <c r="Q111" s="535">
        <v>30</v>
      </c>
      <c r="R111" s="523">
        <f t="shared" si="24"/>
        <v>49</v>
      </c>
      <c r="S111" s="520">
        <f t="shared" si="25"/>
        <v>24</v>
      </c>
      <c r="T111" s="471">
        <f t="shared" si="23"/>
        <v>0</v>
      </c>
      <c r="U111" s="397"/>
    </row>
    <row r="112" spans="1:21" s="431" customFormat="1" ht="19.5" customHeight="1">
      <c r="A112" s="858"/>
      <c r="B112" s="858"/>
      <c r="C112" s="858"/>
      <c r="D112" s="858"/>
      <c r="E112" s="858"/>
      <c r="F112" s="432"/>
      <c r="G112" s="433"/>
      <c r="H112" s="451"/>
      <c r="I112" s="451"/>
      <c r="J112" s="433"/>
      <c r="K112" s="433"/>
      <c r="L112" s="856" t="s">
        <v>598</v>
      </c>
      <c r="M112" s="856"/>
      <c r="N112" s="856"/>
      <c r="O112" s="856"/>
      <c r="P112" s="856"/>
      <c r="Q112" s="856"/>
      <c r="R112" s="856"/>
      <c r="S112" s="856"/>
      <c r="T112" s="487"/>
      <c r="U112" s="434"/>
    </row>
    <row r="113" spans="1:21" s="403" customFormat="1" ht="18.75">
      <c r="A113" s="435"/>
      <c r="B113" s="857" t="s">
        <v>4</v>
      </c>
      <c r="C113" s="857"/>
      <c r="D113" s="857"/>
      <c r="E113" s="857"/>
      <c r="F113" s="436"/>
      <c r="G113" s="436"/>
      <c r="H113" s="452"/>
      <c r="I113" s="452"/>
      <c r="J113" s="436"/>
      <c r="K113" s="436"/>
      <c r="L113" s="436"/>
      <c r="M113" s="436"/>
      <c r="N113" s="436"/>
      <c r="O113" s="488" t="str">
        <f>'[8]Thong tin'!B7</f>
        <v>
PHÓ CỤC TRƯỞNG</v>
      </c>
      <c r="P113" s="488"/>
      <c r="Q113" s="488"/>
      <c r="R113" s="488"/>
      <c r="S113" s="488"/>
      <c r="T113" s="488"/>
      <c r="U113" s="404"/>
    </row>
    <row r="114" spans="1:21" s="403" customFormat="1" ht="18.75">
      <c r="A114" s="437"/>
      <c r="B114" s="438"/>
      <c r="C114" s="449"/>
      <c r="D114" s="439"/>
      <c r="E114" s="439"/>
      <c r="F114" s="439"/>
      <c r="G114" s="439"/>
      <c r="H114" s="449"/>
      <c r="I114" s="449"/>
      <c r="J114" s="439"/>
      <c r="K114" s="439"/>
      <c r="L114" s="439"/>
      <c r="M114" s="439"/>
      <c r="N114" s="439"/>
      <c r="O114" s="439"/>
      <c r="P114" s="439"/>
      <c r="Q114" s="439"/>
      <c r="R114" s="449"/>
      <c r="S114" s="449"/>
      <c r="T114" s="440"/>
      <c r="U114" s="404"/>
    </row>
    <row r="115" spans="1:21" s="403" customFormat="1" ht="18.75">
      <c r="A115" s="437"/>
      <c r="B115" s="438"/>
      <c r="C115" s="449"/>
      <c r="D115" s="439"/>
      <c r="E115" s="439"/>
      <c r="F115" s="439"/>
      <c r="G115" s="439"/>
      <c r="H115" s="449"/>
      <c r="I115" s="449"/>
      <c r="J115" s="439"/>
      <c r="K115" s="439"/>
      <c r="L115" s="439"/>
      <c r="M115" s="439"/>
      <c r="N115" s="439"/>
      <c r="O115" s="439"/>
      <c r="P115" s="439"/>
      <c r="Q115" s="439"/>
      <c r="R115" s="449"/>
      <c r="S115" s="449"/>
      <c r="T115" s="440"/>
      <c r="U115" s="404"/>
    </row>
    <row r="116" spans="1:21" s="403" customFormat="1" ht="18.75">
      <c r="A116" s="441"/>
      <c r="B116" s="855"/>
      <c r="C116" s="855"/>
      <c r="D116" s="855"/>
      <c r="E116" s="439"/>
      <c r="F116" s="439"/>
      <c r="G116" s="439"/>
      <c r="H116" s="449"/>
      <c r="I116" s="449"/>
      <c r="J116" s="439"/>
      <c r="K116" s="439"/>
      <c r="L116" s="439"/>
      <c r="M116" s="439"/>
      <c r="N116" s="439"/>
      <c r="O116" s="439"/>
      <c r="P116" s="439"/>
      <c r="Q116" s="854"/>
      <c r="R116" s="854"/>
      <c r="S116" s="854"/>
      <c r="T116" s="440"/>
      <c r="U116" s="404"/>
    </row>
    <row r="117" spans="1:21" s="403" customFormat="1" ht="15.75" customHeight="1">
      <c r="A117" s="442"/>
      <c r="B117" s="438"/>
      <c r="C117" s="449"/>
      <c r="D117" s="439"/>
      <c r="E117" s="439"/>
      <c r="F117" s="439"/>
      <c r="G117" s="439"/>
      <c r="H117" s="449"/>
      <c r="I117" s="449"/>
      <c r="J117" s="439"/>
      <c r="K117" s="439"/>
      <c r="L117" s="439"/>
      <c r="M117" s="439"/>
      <c r="N117" s="439"/>
      <c r="O117" s="439"/>
      <c r="P117" s="439"/>
      <c r="Q117" s="439"/>
      <c r="R117" s="449"/>
      <c r="S117" s="449"/>
      <c r="T117" s="440"/>
      <c r="U117" s="404"/>
    </row>
    <row r="118" spans="1:21" s="403" customFormat="1" ht="15.75" customHeight="1">
      <c r="A118" s="441"/>
      <c r="B118" s="855"/>
      <c r="C118" s="855"/>
      <c r="D118" s="855"/>
      <c r="E118" s="855"/>
      <c r="F118" s="855"/>
      <c r="G118" s="855"/>
      <c r="H118" s="855"/>
      <c r="I118" s="855"/>
      <c r="J118" s="855"/>
      <c r="K118" s="855"/>
      <c r="L118" s="855"/>
      <c r="M118" s="855"/>
      <c r="N118" s="855"/>
      <c r="O118" s="855"/>
      <c r="P118" s="855"/>
      <c r="Q118" s="439"/>
      <c r="R118" s="449"/>
      <c r="S118" s="449"/>
      <c r="T118" s="440"/>
      <c r="U118" s="404"/>
    </row>
    <row r="119" spans="1:21" s="403" customFormat="1" ht="18.75">
      <c r="A119" s="443"/>
      <c r="B119" s="444"/>
      <c r="C119" s="450"/>
      <c r="D119" s="445"/>
      <c r="E119" s="445"/>
      <c r="F119" s="445"/>
      <c r="G119" s="445"/>
      <c r="H119" s="450"/>
      <c r="I119" s="450"/>
      <c r="J119" s="445"/>
      <c r="K119" s="445"/>
      <c r="L119" s="445"/>
      <c r="M119" s="445"/>
      <c r="N119" s="445"/>
      <c r="O119" s="445"/>
      <c r="P119" s="445"/>
      <c r="Q119" s="445"/>
      <c r="R119" s="449"/>
      <c r="S119" s="449"/>
      <c r="T119" s="440"/>
      <c r="U119" s="404"/>
    </row>
    <row r="120" spans="1:21" s="403" customFormat="1" ht="18.75">
      <c r="A120" s="441"/>
      <c r="B120" s="855" t="str">
        <f>'Thong tin'!B5</f>
        <v>Trần Thị Minh</v>
      </c>
      <c r="C120" s="855"/>
      <c r="D120" s="855"/>
      <c r="E120" s="855"/>
      <c r="F120" s="439"/>
      <c r="G120" s="439"/>
      <c r="H120" s="449"/>
      <c r="I120" s="449"/>
      <c r="J120" s="439"/>
      <c r="K120" s="439"/>
      <c r="L120" s="439"/>
      <c r="M120" s="439"/>
      <c r="N120" s="439"/>
      <c r="O120" s="489" t="str">
        <f>'Thong tin'!B6</f>
        <v>Nguyễn Thị Mai Hoa</v>
      </c>
      <c r="P120" s="489"/>
      <c r="Q120" s="489"/>
      <c r="R120" s="489"/>
      <c r="S120" s="489"/>
      <c r="T120" s="489"/>
      <c r="U120" s="404"/>
    </row>
    <row r="121" spans="1:21" s="403" customFormat="1" ht="33" customHeight="1">
      <c r="A121" s="870"/>
      <c r="B121" s="871"/>
      <c r="C121" s="871"/>
      <c r="D121" s="871"/>
      <c r="E121" s="871"/>
      <c r="F121" s="871"/>
      <c r="G121" s="871"/>
      <c r="H121" s="871"/>
      <c r="I121" s="871"/>
      <c r="J121" s="871"/>
      <c r="K121" s="871"/>
      <c r="L121" s="871"/>
      <c r="M121" s="871"/>
      <c r="N121" s="871"/>
      <c r="O121" s="871"/>
      <c r="P121" s="871"/>
      <c r="Q121" s="871"/>
      <c r="R121" s="871"/>
      <c r="S121" s="871"/>
      <c r="T121" s="490"/>
      <c r="U121" s="404"/>
    </row>
    <row r="122" spans="2:19" ht="18.75">
      <c r="B122" s="386"/>
      <c r="C122" s="392"/>
      <c r="D122" s="379"/>
      <c r="E122" s="379"/>
      <c r="F122" s="379"/>
      <c r="G122" s="379"/>
      <c r="H122" s="392"/>
      <c r="I122" s="392"/>
      <c r="J122" s="379"/>
      <c r="K122" s="379"/>
      <c r="L122" s="379"/>
      <c r="M122" s="379"/>
      <c r="N122" s="379"/>
      <c r="O122" s="379"/>
      <c r="P122" s="379"/>
      <c r="Q122" s="392"/>
      <c r="R122" s="392"/>
      <c r="S122" s="379"/>
    </row>
  </sheetData>
  <sheetProtection/>
  <mergeCells count="33">
    <mergeCell ref="A121:S121"/>
    <mergeCell ref="A2:D2"/>
    <mergeCell ref="P2:S2"/>
    <mergeCell ref="A3:D3"/>
    <mergeCell ref="R6:R9"/>
    <mergeCell ref="E8:E9"/>
    <mergeCell ref="J8:P8"/>
    <mergeCell ref="A6:B9"/>
    <mergeCell ref="C7:C9"/>
    <mergeCell ref="D7:E7"/>
    <mergeCell ref="A11:B11"/>
    <mergeCell ref="E1:O1"/>
    <mergeCell ref="E2:O2"/>
    <mergeCell ref="E3:O3"/>
    <mergeCell ref="F6:F9"/>
    <mergeCell ref="G6:G9"/>
    <mergeCell ref="H6:Q6"/>
    <mergeCell ref="C6:E6"/>
    <mergeCell ref="H7:H9"/>
    <mergeCell ref="Q7:Q9"/>
    <mergeCell ref="D8:D9"/>
    <mergeCell ref="A10:B10"/>
    <mergeCell ref="P4:S4"/>
    <mergeCell ref="I8:I9"/>
    <mergeCell ref="S6:S9"/>
    <mergeCell ref="I7:P7"/>
    <mergeCell ref="Q116:S116"/>
    <mergeCell ref="B118:P118"/>
    <mergeCell ref="B120:E120"/>
    <mergeCell ref="L112:S112"/>
    <mergeCell ref="B113:E113"/>
    <mergeCell ref="B116:D116"/>
    <mergeCell ref="A112:E112"/>
  </mergeCells>
  <conditionalFormatting sqref="C87:C88">
    <cfRule type="expression" priority="6" dxfId="0" stopIfTrue="1">
      <formula>$C$16&lt;&gt;$F$16+$H$16</formula>
    </cfRule>
  </conditionalFormatting>
  <conditionalFormatting sqref="I87:I88">
    <cfRule type="expression" priority="5" dxfId="0" stopIfTrue="1">
      <formula>$I$16&lt;&gt;SUM($J$16:$P$16)</formula>
    </cfRule>
  </conditionalFormatting>
  <conditionalFormatting sqref="H87:H88">
    <cfRule type="expression" priority="4" dxfId="0" stopIfTrue="1">
      <formula>$H$16&lt;&gt;$I$16+$Q$16</formula>
    </cfRule>
  </conditionalFormatting>
  <conditionalFormatting sqref="C87:C88">
    <cfRule type="expression" priority="3" dxfId="0" stopIfTrue="1">
      <formula>$C$16&lt;&gt;$F$16+$H$16</formula>
    </cfRule>
  </conditionalFormatting>
  <conditionalFormatting sqref="I87:I88">
    <cfRule type="expression" priority="2" dxfId="0" stopIfTrue="1">
      <formula>$I$16&lt;&gt;SUM($J$16:$P$16)</formula>
    </cfRule>
  </conditionalFormatting>
  <conditionalFormatting sqref="H87:H88">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ignoredErrors>
    <ignoredError sqref="D32:R32 D68:Q68 D89:L89 R90:R92 R94:R103 R73:R85 R72 R68:S68 R39:S44 S72 R47:S54 R46 R12:S12 R61:S67 R89 Q86:S86 S89 S56:S60 R13:R24 R87:S88 R33:R37" formulaRange="1"/>
    <ignoredError sqref="C69:C71 C56:C60" unlockedFormula="1"/>
    <ignoredError sqref="R69:S71 R56:R60 S45:S46 R25:R30 S31 R55:S55" formulaRange="1" unlockedFormula="1"/>
    <ignoredError sqref="C93 H104 H107 R107" formula="1"/>
    <ignoredError sqref="D105:S106" numberStoredAsText="1"/>
    <ignoredError sqref="S45:S46" evalError="1" formulaRange="1"/>
    <ignoredError sqref="R25:R30 S31 R55:S55" formula="1" formulaRange="1"/>
  </ignoredErrors>
  <drawing r:id="rId3"/>
  <legacyDrawing r:id="rId2"/>
</worksheet>
</file>

<file path=xl/worksheets/sheet14.xml><?xml version="1.0" encoding="utf-8"?>
<worksheet xmlns="http://schemas.openxmlformats.org/spreadsheetml/2006/main" xmlns:r="http://schemas.openxmlformats.org/officeDocument/2006/relationships">
  <sheetPr>
    <tabColor indexed="19"/>
  </sheetPr>
  <dimension ref="A1:AJ120"/>
  <sheetViews>
    <sheetView showZeros="0" view="pageBreakPreview" zoomScale="90" zoomScaleNormal="85" zoomScaleSheetLayoutView="90" zoomScalePageLayoutView="0" workbookViewId="0" topLeftCell="J3">
      <selection activeCell="U11" sqref="U11:U12"/>
    </sheetView>
  </sheetViews>
  <sheetFormatPr defaultColWidth="9.00390625" defaultRowHeight="15.75"/>
  <cols>
    <col min="1" max="1" width="4.375" style="403" customWidth="1"/>
    <col min="2" max="2" width="17.50390625" style="403" customWidth="1"/>
    <col min="3" max="3" width="9.50390625" style="447" customWidth="1"/>
    <col min="4" max="4" width="9.375" style="404" customWidth="1"/>
    <col min="5" max="5" width="9.875" style="404" customWidth="1"/>
    <col min="6" max="6" width="8.125" style="404" customWidth="1"/>
    <col min="7" max="7" width="7.75390625" style="404" customWidth="1"/>
    <col min="8" max="8" width="9.375" style="447" customWidth="1"/>
    <col min="9" max="9" width="10.25390625" style="447" customWidth="1"/>
    <col min="10" max="10" width="8.625" style="404" customWidth="1"/>
    <col min="11" max="11" width="8.50390625" style="404" customWidth="1"/>
    <col min="12" max="12" width="5.875" style="404" customWidth="1"/>
    <col min="13" max="13" width="10.00390625" style="404" customWidth="1"/>
    <col min="14" max="14" width="7.50390625" style="404" customWidth="1"/>
    <col min="15" max="15" width="8.625" style="404" customWidth="1"/>
    <col min="16" max="16" width="6.375" style="404" customWidth="1"/>
    <col min="17" max="17" width="8.625" style="404" customWidth="1"/>
    <col min="18" max="18" width="9.75390625" style="447" customWidth="1"/>
    <col min="19" max="19" width="10.375" style="447" customWidth="1"/>
    <col min="20" max="20" width="6.75390625" style="446" customWidth="1"/>
    <col min="21" max="21" width="13.125" style="404" bestFit="1" customWidth="1"/>
    <col min="22" max="16384" width="9.00390625" style="403" customWidth="1"/>
  </cols>
  <sheetData>
    <row r="1" spans="1:20" ht="20.25" customHeight="1">
      <c r="A1" s="403" t="s">
        <v>28</v>
      </c>
      <c r="E1" s="885" t="s">
        <v>64</v>
      </c>
      <c r="F1" s="885"/>
      <c r="G1" s="885"/>
      <c r="H1" s="885"/>
      <c r="I1" s="885"/>
      <c r="J1" s="885"/>
      <c r="K1" s="885"/>
      <c r="L1" s="885"/>
      <c r="M1" s="885"/>
      <c r="N1" s="885"/>
      <c r="O1" s="885"/>
      <c r="P1" s="885"/>
      <c r="Q1" s="405" t="s">
        <v>429</v>
      </c>
      <c r="R1" s="453"/>
      <c r="S1" s="453"/>
      <c r="T1" s="406"/>
    </row>
    <row r="2" spans="1:20" ht="17.25" customHeight="1">
      <c r="A2" s="872" t="s">
        <v>238</v>
      </c>
      <c r="B2" s="872"/>
      <c r="C2" s="872"/>
      <c r="D2" s="872"/>
      <c r="E2" s="886" t="s">
        <v>34</v>
      </c>
      <c r="F2" s="886"/>
      <c r="G2" s="886"/>
      <c r="H2" s="886"/>
      <c r="I2" s="886"/>
      <c r="J2" s="886"/>
      <c r="K2" s="886"/>
      <c r="L2" s="886"/>
      <c r="M2" s="886"/>
      <c r="N2" s="886"/>
      <c r="O2" s="886"/>
      <c r="P2" s="886"/>
      <c r="Q2" s="873" t="str">
        <f>'[8]Thong tin'!B4</f>
        <v>CTHADS Hải Phòng</v>
      </c>
      <c r="R2" s="873"/>
      <c r="S2" s="873"/>
      <c r="T2" s="873"/>
    </row>
    <row r="3" spans="1:20" ht="18" customHeight="1">
      <c r="A3" s="872" t="s">
        <v>239</v>
      </c>
      <c r="B3" s="872"/>
      <c r="C3" s="872"/>
      <c r="D3" s="872"/>
      <c r="E3" s="887" t="s">
        <v>597</v>
      </c>
      <c r="F3" s="887"/>
      <c r="G3" s="887"/>
      <c r="H3" s="887"/>
      <c r="I3" s="887"/>
      <c r="J3" s="887"/>
      <c r="K3" s="887"/>
      <c r="L3" s="887"/>
      <c r="M3" s="887"/>
      <c r="N3" s="887"/>
      <c r="O3" s="887"/>
      <c r="P3" s="887"/>
      <c r="Q3" s="405" t="s">
        <v>538</v>
      </c>
      <c r="R3" s="454"/>
      <c r="S3" s="453"/>
      <c r="T3" s="406"/>
    </row>
    <row r="4" spans="1:20" ht="14.25" customHeight="1">
      <c r="A4" s="407" t="s">
        <v>117</v>
      </c>
      <c r="Q4" s="862" t="s">
        <v>301</v>
      </c>
      <c r="R4" s="862"/>
      <c r="S4" s="862"/>
      <c r="T4" s="862"/>
    </row>
    <row r="5" spans="17:20" ht="21.75" customHeight="1" thickBot="1">
      <c r="Q5" s="884" t="s">
        <v>430</v>
      </c>
      <c r="R5" s="884"/>
      <c r="S5" s="884"/>
      <c r="T5" s="884"/>
    </row>
    <row r="6" spans="1:36" ht="18.75" customHeight="1" thickTop="1">
      <c r="A6" s="893" t="s">
        <v>55</v>
      </c>
      <c r="B6" s="894"/>
      <c r="C6" s="889" t="s">
        <v>118</v>
      </c>
      <c r="D6" s="889"/>
      <c r="E6" s="889"/>
      <c r="F6" s="881" t="s">
        <v>99</v>
      </c>
      <c r="G6" s="881" t="s">
        <v>119</v>
      </c>
      <c r="H6" s="883" t="s">
        <v>100</v>
      </c>
      <c r="I6" s="883"/>
      <c r="J6" s="883"/>
      <c r="K6" s="883"/>
      <c r="L6" s="883"/>
      <c r="M6" s="883"/>
      <c r="N6" s="883"/>
      <c r="O6" s="883"/>
      <c r="P6" s="883"/>
      <c r="Q6" s="883"/>
      <c r="R6" s="883"/>
      <c r="S6" s="900" t="s">
        <v>243</v>
      </c>
      <c r="T6" s="898" t="s">
        <v>428</v>
      </c>
      <c r="U6" s="405"/>
      <c r="V6" s="408"/>
      <c r="W6" s="408"/>
      <c r="X6" s="408"/>
      <c r="Y6" s="408"/>
      <c r="Z6" s="408"/>
      <c r="AA6" s="408"/>
      <c r="AB6" s="408"/>
      <c r="AC6" s="408"/>
      <c r="AD6" s="408"/>
      <c r="AE6" s="408"/>
      <c r="AF6" s="408"/>
      <c r="AG6" s="408"/>
      <c r="AH6" s="408"/>
      <c r="AI6" s="408"/>
      <c r="AJ6" s="408"/>
    </row>
    <row r="7" spans="1:36" s="409" customFormat="1" ht="21" customHeight="1">
      <c r="A7" s="895"/>
      <c r="B7" s="896"/>
      <c r="C7" s="890" t="s">
        <v>42</v>
      </c>
      <c r="D7" s="888" t="s">
        <v>7</v>
      </c>
      <c r="E7" s="888"/>
      <c r="F7" s="882"/>
      <c r="G7" s="882"/>
      <c r="H7" s="880" t="s">
        <v>100</v>
      </c>
      <c r="I7" s="888" t="s">
        <v>101</v>
      </c>
      <c r="J7" s="888"/>
      <c r="K7" s="888"/>
      <c r="L7" s="888"/>
      <c r="M7" s="888"/>
      <c r="N7" s="888"/>
      <c r="O7" s="888"/>
      <c r="P7" s="888"/>
      <c r="Q7" s="888"/>
      <c r="R7" s="880" t="s">
        <v>120</v>
      </c>
      <c r="S7" s="890"/>
      <c r="T7" s="899"/>
      <c r="U7" s="405"/>
      <c r="V7" s="408"/>
      <c r="W7" s="408"/>
      <c r="X7" s="408"/>
      <c r="Y7" s="408"/>
      <c r="Z7" s="408"/>
      <c r="AA7" s="408"/>
      <c r="AB7" s="408"/>
      <c r="AC7" s="408"/>
      <c r="AD7" s="408"/>
      <c r="AE7" s="408"/>
      <c r="AF7" s="408"/>
      <c r="AG7" s="408"/>
      <c r="AH7" s="408"/>
      <c r="AI7" s="408"/>
      <c r="AJ7" s="408"/>
    </row>
    <row r="8" spans="1:36" ht="21.75" customHeight="1">
      <c r="A8" s="895"/>
      <c r="B8" s="896"/>
      <c r="C8" s="890"/>
      <c r="D8" s="888" t="s">
        <v>121</v>
      </c>
      <c r="E8" s="888" t="s">
        <v>122</v>
      </c>
      <c r="F8" s="882"/>
      <c r="G8" s="882"/>
      <c r="H8" s="880"/>
      <c r="I8" s="880" t="s">
        <v>427</v>
      </c>
      <c r="J8" s="888" t="s">
        <v>7</v>
      </c>
      <c r="K8" s="888"/>
      <c r="L8" s="888"/>
      <c r="M8" s="888"/>
      <c r="N8" s="888"/>
      <c r="O8" s="888"/>
      <c r="P8" s="888"/>
      <c r="Q8" s="888"/>
      <c r="R8" s="880"/>
      <c r="S8" s="890"/>
      <c r="T8" s="899"/>
      <c r="U8" s="405"/>
      <c r="V8" s="408"/>
      <c r="W8" s="408"/>
      <c r="X8" s="408"/>
      <c r="Y8" s="408"/>
      <c r="Z8" s="408"/>
      <c r="AA8" s="408"/>
      <c r="AB8" s="408"/>
      <c r="AC8" s="408"/>
      <c r="AD8" s="408"/>
      <c r="AE8" s="408"/>
      <c r="AF8" s="408"/>
      <c r="AG8" s="408"/>
      <c r="AH8" s="408"/>
      <c r="AI8" s="408"/>
      <c r="AJ8" s="408"/>
    </row>
    <row r="9" spans="1:36" ht="84" customHeight="1">
      <c r="A9" s="895"/>
      <c r="B9" s="896"/>
      <c r="C9" s="890"/>
      <c r="D9" s="888"/>
      <c r="E9" s="888"/>
      <c r="F9" s="882"/>
      <c r="G9" s="882"/>
      <c r="H9" s="880"/>
      <c r="I9" s="880"/>
      <c r="J9" s="410" t="s">
        <v>123</v>
      </c>
      <c r="K9" s="410" t="s">
        <v>124</v>
      </c>
      <c r="L9" s="410" t="s">
        <v>116</v>
      </c>
      <c r="M9" s="411" t="s">
        <v>103</v>
      </c>
      <c r="N9" s="411" t="s">
        <v>125</v>
      </c>
      <c r="O9" s="411" t="s">
        <v>106</v>
      </c>
      <c r="P9" s="411" t="s">
        <v>244</v>
      </c>
      <c r="Q9" s="411" t="s">
        <v>109</v>
      </c>
      <c r="R9" s="880"/>
      <c r="S9" s="890"/>
      <c r="T9" s="899"/>
      <c r="U9" s="405"/>
      <c r="V9" s="408"/>
      <c r="W9" s="408"/>
      <c r="X9" s="408"/>
      <c r="Y9" s="408"/>
      <c r="Z9" s="408"/>
      <c r="AA9" s="408"/>
      <c r="AB9" s="408"/>
      <c r="AC9" s="408"/>
      <c r="AD9" s="408"/>
      <c r="AE9" s="408"/>
      <c r="AF9" s="408"/>
      <c r="AG9" s="408"/>
      <c r="AH9" s="408"/>
      <c r="AI9" s="408"/>
      <c r="AJ9" s="408"/>
    </row>
    <row r="10" spans="1:20" ht="16.5" customHeight="1">
      <c r="A10" s="891" t="s">
        <v>6</v>
      </c>
      <c r="B10" s="892"/>
      <c r="C10" s="448">
        <v>1</v>
      </c>
      <c r="D10" s="412">
        <v>2</v>
      </c>
      <c r="E10" s="412">
        <v>3</v>
      </c>
      <c r="F10" s="412">
        <v>4</v>
      </c>
      <c r="G10" s="412">
        <v>5</v>
      </c>
      <c r="H10" s="448">
        <v>6</v>
      </c>
      <c r="I10" s="448">
        <v>7</v>
      </c>
      <c r="J10" s="412">
        <v>8</v>
      </c>
      <c r="K10" s="412">
        <v>9</v>
      </c>
      <c r="L10" s="412" t="s">
        <v>81</v>
      </c>
      <c r="M10" s="412" t="s">
        <v>82</v>
      </c>
      <c r="N10" s="412" t="s">
        <v>83</v>
      </c>
      <c r="O10" s="412" t="s">
        <v>84</v>
      </c>
      <c r="P10" s="412" t="s">
        <v>85</v>
      </c>
      <c r="Q10" s="412" t="s">
        <v>246</v>
      </c>
      <c r="R10" s="448" t="s">
        <v>247</v>
      </c>
      <c r="S10" s="448" t="s">
        <v>248</v>
      </c>
      <c r="T10" s="413" t="s">
        <v>249</v>
      </c>
    </row>
    <row r="11" spans="1:21" s="456" customFormat="1" ht="29.25" customHeight="1">
      <c r="A11" s="901" t="s">
        <v>30</v>
      </c>
      <c r="B11" s="902"/>
      <c r="C11" s="455">
        <f>C12+C31</f>
        <v>4271141592</v>
      </c>
      <c r="D11" s="455">
        <f>D12+D31</f>
        <v>3209226708</v>
      </c>
      <c r="E11" s="455">
        <f aca="true" t="shared" si="0" ref="E11:S11">E12+E31</f>
        <v>1061914884</v>
      </c>
      <c r="F11" s="455">
        <f t="shared" si="0"/>
        <v>2156212</v>
      </c>
      <c r="G11" s="455">
        <f t="shared" si="0"/>
        <v>9109528</v>
      </c>
      <c r="H11" s="455">
        <f t="shared" si="0"/>
        <v>4169156506</v>
      </c>
      <c r="I11" s="455">
        <f t="shared" si="0"/>
        <v>2556464460</v>
      </c>
      <c r="J11" s="455">
        <f t="shared" si="0"/>
        <v>72506321</v>
      </c>
      <c r="K11" s="455">
        <f t="shared" si="0"/>
        <v>8238285</v>
      </c>
      <c r="L11" s="455">
        <f t="shared" si="0"/>
        <v>5306</v>
      </c>
      <c r="M11" s="455">
        <f t="shared" si="0"/>
        <v>2351536484</v>
      </c>
      <c r="N11" s="455">
        <f t="shared" si="0"/>
        <v>15858503</v>
      </c>
      <c r="O11" s="455">
        <f t="shared" si="0"/>
        <v>25076404</v>
      </c>
      <c r="P11" s="455">
        <f t="shared" si="0"/>
        <v>0</v>
      </c>
      <c r="Q11" s="455">
        <f t="shared" si="0"/>
        <v>83243157</v>
      </c>
      <c r="R11" s="455">
        <f t="shared" si="0"/>
        <v>1612692046</v>
      </c>
      <c r="S11" s="455">
        <f t="shared" si="0"/>
        <v>4088406594</v>
      </c>
      <c r="T11" s="402">
        <f>(J11+K11+L11)/I11*100</f>
        <v>3.158655763201965</v>
      </c>
      <c r="U11" s="401"/>
    </row>
    <row r="12" spans="1:21" s="400" customFormat="1" ht="31.5" customHeight="1">
      <c r="A12" s="399" t="s">
        <v>0</v>
      </c>
      <c r="B12" s="457" t="s">
        <v>78</v>
      </c>
      <c r="C12" s="458">
        <f>SUM(C13:C30)</f>
        <v>930762595</v>
      </c>
      <c r="D12" s="458">
        <f aca="true" t="shared" si="1" ref="D12:R12">SUM(D13:D30)</f>
        <v>869706440</v>
      </c>
      <c r="E12" s="458">
        <f t="shared" si="1"/>
        <v>61056155</v>
      </c>
      <c r="F12" s="458">
        <f t="shared" si="1"/>
        <v>25400</v>
      </c>
      <c r="G12" s="458">
        <f t="shared" si="1"/>
        <v>0</v>
      </c>
      <c r="H12" s="458">
        <f t="shared" si="1"/>
        <v>830908321</v>
      </c>
      <c r="I12" s="458">
        <f t="shared" si="1"/>
        <v>390250753</v>
      </c>
      <c r="J12" s="458">
        <f t="shared" si="1"/>
        <v>17284680</v>
      </c>
      <c r="K12" s="458">
        <f t="shared" si="1"/>
        <v>0</v>
      </c>
      <c r="L12" s="458">
        <f t="shared" si="1"/>
        <v>0</v>
      </c>
      <c r="M12" s="458">
        <f t="shared" si="1"/>
        <v>333933491</v>
      </c>
      <c r="N12" s="458">
        <f t="shared" si="1"/>
        <v>13965888</v>
      </c>
      <c r="O12" s="458">
        <f t="shared" si="1"/>
        <v>25066694</v>
      </c>
      <c r="P12" s="458">
        <f t="shared" si="1"/>
        <v>0</v>
      </c>
      <c r="Q12" s="458">
        <f t="shared" si="1"/>
        <v>0</v>
      </c>
      <c r="R12" s="458">
        <f t="shared" si="1"/>
        <v>440657568</v>
      </c>
      <c r="S12" s="458">
        <f>M12+N12+O12+P12+Q12+R12</f>
        <v>813623641</v>
      </c>
      <c r="T12" s="402">
        <f>(J12+K12+L12)/I12*100</f>
        <v>4.429121498709831</v>
      </c>
      <c r="U12" s="401"/>
    </row>
    <row r="13" spans="1:21" s="415" customFormat="1" ht="31.5" customHeight="1">
      <c r="A13" s="416" t="s">
        <v>45</v>
      </c>
      <c r="B13" s="416" t="s">
        <v>435</v>
      </c>
      <c r="C13" s="492">
        <f>D13+E13</f>
        <v>336800</v>
      </c>
      <c r="D13" s="493">
        <v>336800</v>
      </c>
      <c r="E13" s="492">
        <v>0</v>
      </c>
      <c r="F13" s="492">
        <v>0</v>
      </c>
      <c r="G13" s="492"/>
      <c r="H13" s="492">
        <f>I13+R13</f>
        <v>336800</v>
      </c>
      <c r="I13" s="492">
        <f>SUM(J13:Q13)</f>
        <v>336800</v>
      </c>
      <c r="J13" s="492">
        <v>4000</v>
      </c>
      <c r="K13" s="492"/>
      <c r="L13" s="492"/>
      <c r="M13" s="492">
        <f>337000-200-4000</f>
        <v>332800</v>
      </c>
      <c r="N13" s="492"/>
      <c r="O13" s="492"/>
      <c r="P13" s="492"/>
      <c r="Q13" s="492"/>
      <c r="R13" s="492"/>
      <c r="S13" s="494">
        <f>M13+N13+O13+P13+Q13+R13</f>
        <v>332800</v>
      </c>
      <c r="T13" s="491">
        <f>(J13+K13+L13)/I13*100</f>
        <v>1.187648456057007</v>
      </c>
      <c r="U13" s="404">
        <f aca="true" t="shared" si="2" ref="U13:U75">C13-F13-H13</f>
        <v>0</v>
      </c>
    </row>
    <row r="14" spans="1:21" s="415" customFormat="1" ht="31.5" customHeight="1">
      <c r="A14" s="416" t="s">
        <v>46</v>
      </c>
      <c r="B14" s="416" t="s">
        <v>436</v>
      </c>
      <c r="C14" s="492">
        <f aca="true" t="shared" si="3" ref="C14:C30">D14+E14</f>
        <v>5650</v>
      </c>
      <c r="D14" s="493">
        <v>5650</v>
      </c>
      <c r="E14" s="492">
        <v>0</v>
      </c>
      <c r="F14" s="492">
        <v>0</v>
      </c>
      <c r="G14" s="492"/>
      <c r="H14" s="492">
        <f aca="true" t="shared" si="4" ref="H14:H30">I14+R14</f>
        <v>5650</v>
      </c>
      <c r="I14" s="492">
        <f aca="true" t="shared" si="5" ref="I14:I30">SUM(J14:Q14)</f>
        <v>5650</v>
      </c>
      <c r="J14" s="492">
        <v>0</v>
      </c>
      <c r="K14" s="492"/>
      <c r="L14" s="492"/>
      <c r="M14" s="492">
        <f>7352-1702</f>
        <v>5650</v>
      </c>
      <c r="N14" s="492"/>
      <c r="O14" s="492"/>
      <c r="P14" s="492"/>
      <c r="Q14" s="492"/>
      <c r="R14" s="492"/>
      <c r="S14" s="494">
        <f aca="true" t="shared" si="6" ref="S14:S30">M14+N14+O14+P14+Q14+R14</f>
        <v>5650</v>
      </c>
      <c r="T14" s="491">
        <f aca="true" t="shared" si="7" ref="T14:T30">(J14+K14+L14)/I14*100</f>
        <v>0</v>
      </c>
      <c r="U14" s="404">
        <f t="shared" si="2"/>
        <v>0</v>
      </c>
    </row>
    <row r="15" spans="1:21" s="415" customFormat="1" ht="31.5" customHeight="1">
      <c r="A15" s="416" t="s">
        <v>102</v>
      </c>
      <c r="B15" s="416" t="s">
        <v>434</v>
      </c>
      <c r="C15" s="492">
        <f>D15+E15</f>
        <v>0</v>
      </c>
      <c r="D15" s="493">
        <v>0</v>
      </c>
      <c r="E15" s="492">
        <v>0</v>
      </c>
      <c r="F15" s="492">
        <v>0</v>
      </c>
      <c r="G15" s="492"/>
      <c r="H15" s="492">
        <f t="shared" si="4"/>
        <v>0</v>
      </c>
      <c r="I15" s="492">
        <f t="shared" si="5"/>
        <v>0</v>
      </c>
      <c r="J15" s="492">
        <v>0</v>
      </c>
      <c r="K15" s="492"/>
      <c r="L15" s="492"/>
      <c r="M15" s="492">
        <v>0</v>
      </c>
      <c r="N15" s="492"/>
      <c r="O15" s="492"/>
      <c r="P15" s="492"/>
      <c r="Q15" s="492"/>
      <c r="R15" s="492"/>
      <c r="S15" s="494">
        <f t="shared" si="6"/>
        <v>0</v>
      </c>
      <c r="T15" s="491" t="e">
        <f t="shared" si="7"/>
        <v>#DIV/0!</v>
      </c>
      <c r="U15" s="404">
        <f t="shared" si="2"/>
        <v>0</v>
      </c>
    </row>
    <row r="16" spans="1:21" s="415" customFormat="1" ht="31.5" customHeight="1">
      <c r="A16" s="416" t="s">
        <v>104</v>
      </c>
      <c r="B16" s="416" t="s">
        <v>530</v>
      </c>
      <c r="C16" s="492">
        <f t="shared" si="3"/>
        <v>42054218</v>
      </c>
      <c r="D16" s="493">
        <v>37629709</v>
      </c>
      <c r="E16" s="492">
        <v>4424509</v>
      </c>
      <c r="F16" s="492">
        <v>0</v>
      </c>
      <c r="G16" s="492"/>
      <c r="H16" s="492">
        <f t="shared" si="4"/>
        <v>42054218</v>
      </c>
      <c r="I16" s="492">
        <f t="shared" si="5"/>
        <v>42054218</v>
      </c>
      <c r="J16" s="492">
        <v>6423000</v>
      </c>
      <c r="K16" s="492"/>
      <c r="L16" s="492"/>
      <c r="M16" s="492">
        <f>12563015-1998491</f>
        <v>10564524</v>
      </c>
      <c r="N16" s="492"/>
      <c r="O16" s="492">
        <v>25066694</v>
      </c>
      <c r="P16" s="492"/>
      <c r="Q16" s="492"/>
      <c r="R16" s="492"/>
      <c r="S16" s="494">
        <f t="shared" si="6"/>
        <v>35631218</v>
      </c>
      <c r="T16" s="491">
        <f t="shared" si="7"/>
        <v>15.27314097244657</v>
      </c>
      <c r="U16" s="404">
        <f t="shared" si="2"/>
        <v>0</v>
      </c>
    </row>
    <row r="17" spans="1:21" s="415" customFormat="1" ht="31.5" customHeight="1">
      <c r="A17" s="416" t="s">
        <v>105</v>
      </c>
      <c r="B17" s="416" t="s">
        <v>437</v>
      </c>
      <c r="C17" s="492">
        <f t="shared" si="3"/>
        <v>3747088</v>
      </c>
      <c r="D17" s="493">
        <v>3713115</v>
      </c>
      <c r="E17" s="492">
        <f>33173+800</f>
        <v>33973</v>
      </c>
      <c r="F17" s="492">
        <v>0</v>
      </c>
      <c r="G17" s="492"/>
      <c r="H17" s="492">
        <f t="shared" si="4"/>
        <v>3747088</v>
      </c>
      <c r="I17" s="492">
        <f t="shared" si="5"/>
        <v>1565758</v>
      </c>
      <c r="J17" s="492">
        <f>33173+600</f>
        <v>33773</v>
      </c>
      <c r="K17" s="492"/>
      <c r="L17" s="495"/>
      <c r="M17" s="495">
        <f>1531785+200</f>
        <v>1531985</v>
      </c>
      <c r="N17" s="496"/>
      <c r="O17" s="496"/>
      <c r="P17" s="496"/>
      <c r="Q17" s="496"/>
      <c r="R17" s="496">
        <v>2181330</v>
      </c>
      <c r="S17" s="494">
        <f t="shared" si="6"/>
        <v>3713315</v>
      </c>
      <c r="T17" s="491">
        <f t="shared" si="7"/>
        <v>2.156974449435992</v>
      </c>
      <c r="U17" s="404">
        <f t="shared" si="2"/>
        <v>0</v>
      </c>
    </row>
    <row r="18" spans="1:21" s="415" customFormat="1" ht="31.5" customHeight="1">
      <c r="A18" s="416" t="s">
        <v>107</v>
      </c>
      <c r="B18" s="416" t="s">
        <v>438</v>
      </c>
      <c r="C18" s="492">
        <f t="shared" si="3"/>
        <v>36084778</v>
      </c>
      <c r="D18" s="493">
        <v>36084778</v>
      </c>
      <c r="E18" s="492">
        <v>0</v>
      </c>
      <c r="F18" s="492">
        <v>0</v>
      </c>
      <c r="G18" s="496"/>
      <c r="H18" s="492">
        <f t="shared" si="4"/>
        <v>36084778</v>
      </c>
      <c r="I18" s="492">
        <f t="shared" si="5"/>
        <v>5745765</v>
      </c>
      <c r="J18" s="492">
        <v>0</v>
      </c>
      <c r="K18" s="496">
        <v>0</v>
      </c>
      <c r="L18" s="496"/>
      <c r="M18" s="496">
        <v>5745765</v>
      </c>
      <c r="N18" s="495"/>
      <c r="O18" s="496"/>
      <c r="P18" s="496"/>
      <c r="Q18" s="496"/>
      <c r="R18" s="496">
        <v>30339013</v>
      </c>
      <c r="S18" s="494">
        <f t="shared" si="6"/>
        <v>36084778</v>
      </c>
      <c r="T18" s="491">
        <f t="shared" si="7"/>
        <v>0</v>
      </c>
      <c r="U18" s="404">
        <f t="shared" si="2"/>
        <v>0</v>
      </c>
    </row>
    <row r="19" spans="1:21" s="415" customFormat="1" ht="31.5" customHeight="1">
      <c r="A19" s="416" t="s">
        <v>108</v>
      </c>
      <c r="B19" s="416" t="s">
        <v>439</v>
      </c>
      <c r="C19" s="492">
        <f t="shared" si="3"/>
        <v>11111935</v>
      </c>
      <c r="D19" s="493">
        <v>11111935</v>
      </c>
      <c r="E19" s="492">
        <v>0</v>
      </c>
      <c r="F19" s="492">
        <v>0</v>
      </c>
      <c r="G19" s="496"/>
      <c r="H19" s="492">
        <f t="shared" si="4"/>
        <v>11111935</v>
      </c>
      <c r="I19" s="492">
        <f t="shared" si="5"/>
        <v>10982329</v>
      </c>
      <c r="J19" s="492">
        <v>0</v>
      </c>
      <c r="K19" s="496"/>
      <c r="L19" s="496"/>
      <c r="M19" s="496">
        <f>23282329-12300000</f>
        <v>10982329</v>
      </c>
      <c r="N19" s="495"/>
      <c r="O19" s="496"/>
      <c r="P19" s="496"/>
      <c r="Q19" s="496"/>
      <c r="R19" s="496">
        <v>129606</v>
      </c>
      <c r="S19" s="494">
        <f t="shared" si="6"/>
        <v>11111935</v>
      </c>
      <c r="T19" s="491">
        <f t="shared" si="7"/>
        <v>0</v>
      </c>
      <c r="U19" s="404">
        <f t="shared" si="2"/>
        <v>0</v>
      </c>
    </row>
    <row r="20" spans="1:21" s="415" customFormat="1" ht="31.5" customHeight="1">
      <c r="A20" s="416" t="s">
        <v>115</v>
      </c>
      <c r="B20" s="416" t="s">
        <v>440</v>
      </c>
      <c r="C20" s="492">
        <f t="shared" si="3"/>
        <v>203787</v>
      </c>
      <c r="D20" s="493">
        <v>192587</v>
      </c>
      <c r="E20" s="492">
        <v>11200</v>
      </c>
      <c r="F20" s="492">
        <v>0</v>
      </c>
      <c r="G20" s="496"/>
      <c r="H20" s="492">
        <f t="shared" si="4"/>
        <v>203787</v>
      </c>
      <c r="I20" s="492">
        <f t="shared" si="5"/>
        <v>150700</v>
      </c>
      <c r="J20" s="492">
        <v>800</v>
      </c>
      <c r="K20" s="496">
        <v>0</v>
      </c>
      <c r="L20" s="496"/>
      <c r="M20" s="496">
        <f>139500+10400</f>
        <v>149900</v>
      </c>
      <c r="N20" s="495"/>
      <c r="O20" s="496"/>
      <c r="P20" s="496"/>
      <c r="Q20" s="496"/>
      <c r="R20" s="496">
        <v>53087</v>
      </c>
      <c r="S20" s="494">
        <f t="shared" si="6"/>
        <v>202987</v>
      </c>
      <c r="T20" s="491">
        <f t="shared" si="7"/>
        <v>0.53085600530856</v>
      </c>
      <c r="U20" s="404">
        <f t="shared" si="2"/>
        <v>0</v>
      </c>
    </row>
    <row r="21" spans="1:21" s="415" customFormat="1" ht="31.5" customHeight="1">
      <c r="A21" s="416" t="s">
        <v>425</v>
      </c>
      <c r="B21" s="416" t="s">
        <v>442</v>
      </c>
      <c r="C21" s="492">
        <f t="shared" si="3"/>
        <v>103155876</v>
      </c>
      <c r="D21" s="493">
        <v>103036523</v>
      </c>
      <c r="E21" s="492">
        <v>119353</v>
      </c>
      <c r="F21" s="492">
        <v>0</v>
      </c>
      <c r="G21" s="496"/>
      <c r="H21" s="492">
        <f t="shared" si="4"/>
        <v>103155876</v>
      </c>
      <c r="I21" s="492">
        <f t="shared" si="5"/>
        <v>103155876</v>
      </c>
      <c r="J21" s="492">
        <v>0</v>
      </c>
      <c r="K21" s="496">
        <v>0</v>
      </c>
      <c r="L21" s="496"/>
      <c r="M21" s="496">
        <f>113037023-10000000-500+119353</f>
        <v>103155876</v>
      </c>
      <c r="N21" s="495"/>
      <c r="O21" s="496"/>
      <c r="P21" s="496"/>
      <c r="Q21" s="496"/>
      <c r="R21" s="496"/>
      <c r="S21" s="494">
        <f t="shared" si="6"/>
        <v>103155876</v>
      </c>
      <c r="T21" s="491">
        <f t="shared" si="7"/>
        <v>0</v>
      </c>
      <c r="U21" s="404">
        <f t="shared" si="2"/>
        <v>0</v>
      </c>
    </row>
    <row r="22" spans="1:21" s="415" customFormat="1" ht="31.5" customHeight="1">
      <c r="A22" s="416" t="s">
        <v>441</v>
      </c>
      <c r="B22" s="416" t="s">
        <v>444</v>
      </c>
      <c r="C22" s="492">
        <f t="shared" si="3"/>
        <v>72683776</v>
      </c>
      <c r="D22" s="493">
        <v>39751844</v>
      </c>
      <c r="E22" s="492">
        <v>32931932</v>
      </c>
      <c r="F22" s="492">
        <v>0</v>
      </c>
      <c r="G22" s="496"/>
      <c r="H22" s="492">
        <f t="shared" si="4"/>
        <v>72683776</v>
      </c>
      <c r="I22" s="492">
        <f t="shared" si="5"/>
        <v>72683776</v>
      </c>
      <c r="J22" s="492">
        <v>0</v>
      </c>
      <c r="K22" s="496"/>
      <c r="L22" s="496"/>
      <c r="M22" s="496">
        <f>39751844+32931932</f>
        <v>72683776</v>
      </c>
      <c r="N22" s="495"/>
      <c r="O22" s="496"/>
      <c r="P22" s="496"/>
      <c r="Q22" s="496"/>
      <c r="R22" s="496"/>
      <c r="S22" s="494">
        <f t="shared" si="6"/>
        <v>72683776</v>
      </c>
      <c r="T22" s="491">
        <f t="shared" si="7"/>
        <v>0</v>
      </c>
      <c r="U22" s="404">
        <f t="shared" si="2"/>
        <v>0</v>
      </c>
    </row>
    <row r="23" spans="1:21" s="415" customFormat="1" ht="31.5" customHeight="1">
      <c r="A23" s="416" t="s">
        <v>443</v>
      </c>
      <c r="B23" s="416" t="s">
        <v>544</v>
      </c>
      <c r="C23" s="492">
        <f t="shared" si="3"/>
        <v>42877896</v>
      </c>
      <c r="D23" s="493">
        <f>33762968+9109528</f>
        <v>42872496</v>
      </c>
      <c r="E23" s="492">
        <v>5400</v>
      </c>
      <c r="F23" s="492">
        <v>0</v>
      </c>
      <c r="G23" s="496"/>
      <c r="H23" s="492">
        <f t="shared" si="4"/>
        <v>42877896</v>
      </c>
      <c r="I23" s="492">
        <f t="shared" si="5"/>
        <v>42754675</v>
      </c>
      <c r="J23" s="492">
        <f>2267851+69000</f>
        <v>2336851</v>
      </c>
      <c r="K23" s="496"/>
      <c r="L23" s="496"/>
      <c r="M23" s="496">
        <f>19673859+5400-2336851+9109528</f>
        <v>26451936</v>
      </c>
      <c r="N23" s="495">
        <v>13965888</v>
      </c>
      <c r="O23" s="496"/>
      <c r="P23" s="496"/>
      <c r="Q23" s="496"/>
      <c r="R23" s="496">
        <f>7540+115681</f>
        <v>123221</v>
      </c>
      <c r="S23" s="494">
        <f t="shared" si="6"/>
        <v>40541045</v>
      </c>
      <c r="T23" s="491">
        <f t="shared" si="7"/>
        <v>5.465720415369781</v>
      </c>
      <c r="U23" s="404">
        <f t="shared" si="2"/>
        <v>0</v>
      </c>
    </row>
    <row r="24" spans="1:21" s="415" customFormat="1" ht="31.5" customHeight="1">
      <c r="A24" s="416" t="s">
        <v>445</v>
      </c>
      <c r="B24" s="416" t="s">
        <v>545</v>
      </c>
      <c r="C24" s="492">
        <f t="shared" si="3"/>
        <v>102594228</v>
      </c>
      <c r="D24" s="496">
        <v>102594228</v>
      </c>
      <c r="E24" s="492">
        <v>0</v>
      </c>
      <c r="F24" s="492">
        <v>0</v>
      </c>
      <c r="G24" s="496"/>
      <c r="H24" s="492">
        <f t="shared" si="4"/>
        <v>2765354</v>
      </c>
      <c r="I24" s="492">
        <f t="shared" si="5"/>
        <v>0</v>
      </c>
      <c r="J24" s="492">
        <v>0</v>
      </c>
      <c r="K24" s="496"/>
      <c r="L24" s="496"/>
      <c r="M24" s="496" t="s">
        <v>599</v>
      </c>
      <c r="N24" s="495"/>
      <c r="O24" s="496"/>
      <c r="P24" s="496"/>
      <c r="Q24" s="496"/>
      <c r="R24" s="496">
        <f>2548021+217333</f>
        <v>2765354</v>
      </c>
      <c r="S24" s="494" t="e">
        <f t="shared" si="6"/>
        <v>#VALUE!</v>
      </c>
      <c r="T24" s="491" t="e">
        <f t="shared" si="7"/>
        <v>#DIV/0!</v>
      </c>
      <c r="U24" s="404">
        <f t="shared" si="2"/>
        <v>99828874</v>
      </c>
    </row>
    <row r="25" spans="1:21" s="415" customFormat="1" ht="31.5" customHeight="1">
      <c r="A25" s="416" t="s">
        <v>446</v>
      </c>
      <c r="B25" s="416" t="s">
        <v>448</v>
      </c>
      <c r="C25" s="492">
        <f>D25+E25</f>
        <v>481021662</v>
      </c>
      <c r="D25" s="492">
        <v>481021662</v>
      </c>
      <c r="E25" s="492">
        <v>0</v>
      </c>
      <c r="F25" s="492">
        <v>0</v>
      </c>
      <c r="G25" s="492"/>
      <c r="H25" s="492">
        <f>I25+R25</f>
        <v>481021662</v>
      </c>
      <c r="I25" s="492">
        <f>SUM(J25:Q25)</f>
        <v>81612511</v>
      </c>
      <c r="J25" s="492">
        <v>0</v>
      </c>
      <c r="K25" s="492">
        <v>0</v>
      </c>
      <c r="L25" s="495"/>
      <c r="M25" s="495">
        <v>81612511</v>
      </c>
      <c r="N25" s="496">
        <v>0</v>
      </c>
      <c r="O25" s="496">
        <v>0</v>
      </c>
      <c r="P25" s="496"/>
      <c r="Q25" s="496"/>
      <c r="R25" s="496">
        <v>399409151</v>
      </c>
      <c r="S25" s="494">
        <f t="shared" si="6"/>
        <v>481021662</v>
      </c>
      <c r="T25" s="491">
        <f t="shared" si="7"/>
        <v>0</v>
      </c>
      <c r="U25" s="404">
        <f t="shared" si="2"/>
        <v>0</v>
      </c>
    </row>
    <row r="26" spans="1:21" s="415" customFormat="1" ht="31.5" customHeight="1">
      <c r="A26" s="416" t="s">
        <v>447</v>
      </c>
      <c r="B26" s="416" t="s">
        <v>450</v>
      </c>
      <c r="C26" s="492">
        <f>D26+E26</f>
        <v>2657002</v>
      </c>
      <c r="D26" s="497">
        <v>2569533</v>
      </c>
      <c r="E26" s="492">
        <v>87469</v>
      </c>
      <c r="F26" s="492">
        <v>0</v>
      </c>
      <c r="G26" s="492"/>
      <c r="H26" s="492">
        <f>I26+R26</f>
        <v>2657002</v>
      </c>
      <c r="I26" s="492">
        <f>SUM(J26:Q26)</f>
        <v>2559385</v>
      </c>
      <c r="J26" s="492">
        <v>35803</v>
      </c>
      <c r="K26" s="492"/>
      <c r="L26" s="495"/>
      <c r="M26" s="495">
        <v>2523582</v>
      </c>
      <c r="N26" s="495"/>
      <c r="O26" s="496"/>
      <c r="P26" s="496"/>
      <c r="Q26" s="496"/>
      <c r="R26" s="496">
        <v>97617</v>
      </c>
      <c r="S26" s="494">
        <f t="shared" si="6"/>
        <v>2621199</v>
      </c>
      <c r="T26" s="491">
        <f t="shared" si="7"/>
        <v>1.3988907491448141</v>
      </c>
      <c r="U26" s="404">
        <f t="shared" si="2"/>
        <v>0</v>
      </c>
    </row>
    <row r="27" spans="1:21" s="415" customFormat="1" ht="31.5" customHeight="1">
      <c r="A27" s="416" t="s">
        <v>449</v>
      </c>
      <c r="B27" s="416" t="s">
        <v>452</v>
      </c>
      <c r="C27" s="492">
        <f t="shared" si="3"/>
        <v>24375175</v>
      </c>
      <c r="D27" s="493">
        <v>1278149</v>
      </c>
      <c r="E27" s="492">
        <v>23097026</v>
      </c>
      <c r="F27" s="492">
        <v>0</v>
      </c>
      <c r="G27" s="492"/>
      <c r="H27" s="492">
        <f t="shared" si="4"/>
        <v>24375175</v>
      </c>
      <c r="I27" s="492">
        <f t="shared" si="5"/>
        <v>24350175</v>
      </c>
      <c r="J27" s="492">
        <v>8246200</v>
      </c>
      <c r="K27" s="492"/>
      <c r="L27" s="495"/>
      <c r="M27" s="495">
        <v>16103975</v>
      </c>
      <c r="N27" s="495"/>
      <c r="O27" s="496"/>
      <c r="P27" s="496"/>
      <c r="Q27" s="496"/>
      <c r="R27" s="496">
        <v>25000</v>
      </c>
      <c r="S27" s="494">
        <f t="shared" si="6"/>
        <v>16128975</v>
      </c>
      <c r="T27" s="491">
        <f t="shared" si="7"/>
        <v>33.86505435792556</v>
      </c>
      <c r="U27" s="404">
        <f t="shared" si="2"/>
        <v>0</v>
      </c>
    </row>
    <row r="28" spans="1:21" s="415" customFormat="1" ht="31.5" customHeight="1">
      <c r="A28" s="416" t="s">
        <v>451</v>
      </c>
      <c r="B28" s="416" t="s">
        <v>454</v>
      </c>
      <c r="C28" s="492">
        <f t="shared" si="3"/>
        <v>5390913</v>
      </c>
      <c r="D28" s="492">
        <v>5325863</v>
      </c>
      <c r="E28" s="492">
        <v>65050</v>
      </c>
      <c r="F28" s="492">
        <v>0</v>
      </c>
      <c r="G28" s="492"/>
      <c r="H28" s="492">
        <f t="shared" si="4"/>
        <v>5390913</v>
      </c>
      <c r="I28" s="492">
        <f t="shared" si="5"/>
        <v>89250</v>
      </c>
      <c r="J28" s="492">
        <v>6050</v>
      </c>
      <c r="K28" s="492">
        <v>0</v>
      </c>
      <c r="L28" s="495">
        <v>0</v>
      </c>
      <c r="M28" s="495">
        <f>192494-116200-56094+4000+59000</f>
        <v>83200</v>
      </c>
      <c r="N28" s="495"/>
      <c r="O28" s="496"/>
      <c r="P28" s="496"/>
      <c r="Q28" s="496"/>
      <c r="R28" s="496">
        <f>5176064+69505+56094</f>
        <v>5301663</v>
      </c>
      <c r="S28" s="494">
        <f t="shared" si="6"/>
        <v>5384863</v>
      </c>
      <c r="T28" s="491">
        <f t="shared" si="7"/>
        <v>6.778711484593837</v>
      </c>
      <c r="U28" s="404">
        <f t="shared" si="2"/>
        <v>0</v>
      </c>
    </row>
    <row r="29" spans="1:21" s="415" customFormat="1" ht="31.5" customHeight="1">
      <c r="A29" s="416" t="s">
        <v>453</v>
      </c>
      <c r="B29" s="416" t="s">
        <v>553</v>
      </c>
      <c r="C29" s="492">
        <f t="shared" si="3"/>
        <v>2065565</v>
      </c>
      <c r="D29" s="492">
        <v>1926742</v>
      </c>
      <c r="E29" s="492">
        <f>100334+38489</f>
        <v>138823</v>
      </c>
      <c r="F29" s="492">
        <v>0</v>
      </c>
      <c r="G29" s="492">
        <v>0</v>
      </c>
      <c r="H29" s="492">
        <f t="shared" si="4"/>
        <v>2065565</v>
      </c>
      <c r="I29" s="492">
        <f t="shared" si="5"/>
        <v>2065565</v>
      </c>
      <c r="J29" s="492">
        <f>90684+16299</f>
        <v>106983</v>
      </c>
      <c r="K29" s="492">
        <v>0</v>
      </c>
      <c r="L29" s="495">
        <v>0</v>
      </c>
      <c r="M29" s="495">
        <f>1936392+20390+1800</f>
        <v>1958582</v>
      </c>
      <c r="N29" s="495"/>
      <c r="O29" s="496"/>
      <c r="P29" s="496"/>
      <c r="Q29" s="496"/>
      <c r="R29" s="496">
        <v>0</v>
      </c>
      <c r="S29" s="494">
        <f t="shared" si="6"/>
        <v>1958582</v>
      </c>
      <c r="T29" s="491">
        <f t="shared" si="7"/>
        <v>5.179357706002958</v>
      </c>
      <c r="U29" s="404">
        <f t="shared" si="2"/>
        <v>0</v>
      </c>
    </row>
    <row r="30" spans="1:21" s="415" customFormat="1" ht="24" customHeight="1">
      <c r="A30" s="416" t="s">
        <v>583</v>
      </c>
      <c r="B30" s="416" t="s">
        <v>546</v>
      </c>
      <c r="C30" s="492">
        <f t="shared" si="3"/>
        <v>396246</v>
      </c>
      <c r="D30" s="497">
        <v>254826</v>
      </c>
      <c r="E30" s="492">
        <f>108670+32750</f>
        <v>141420</v>
      </c>
      <c r="F30" s="492">
        <v>25400</v>
      </c>
      <c r="G30" s="492"/>
      <c r="H30" s="492">
        <f t="shared" si="4"/>
        <v>370846</v>
      </c>
      <c r="I30" s="492">
        <f t="shared" si="5"/>
        <v>138320</v>
      </c>
      <c r="J30" s="492">
        <f>32750+58470</f>
        <v>91220</v>
      </c>
      <c r="K30" s="492">
        <v>0</v>
      </c>
      <c r="L30" s="495"/>
      <c r="M30" s="495">
        <f>22300+24800</f>
        <v>47100</v>
      </c>
      <c r="N30" s="495"/>
      <c r="O30" s="496"/>
      <c r="P30" s="496"/>
      <c r="Q30" s="496"/>
      <c r="R30" s="496">
        <v>232526</v>
      </c>
      <c r="S30" s="494">
        <f t="shared" si="6"/>
        <v>279626</v>
      </c>
      <c r="T30" s="491">
        <f t="shared" si="7"/>
        <v>65.94852515905147</v>
      </c>
      <c r="U30" s="404">
        <f t="shared" si="2"/>
        <v>0</v>
      </c>
    </row>
    <row r="31" spans="1:21" s="400" customFormat="1" ht="24" customHeight="1">
      <c r="A31" s="399" t="s">
        <v>1</v>
      </c>
      <c r="B31" s="513" t="s">
        <v>455</v>
      </c>
      <c r="C31" s="514">
        <f>C32+C38+C42+C45+C47+C55+C61+C68+C72+C76+C86+C89+C93+C104+C107</f>
        <v>3340378997</v>
      </c>
      <c r="D31" s="514">
        <f aca="true" t="shared" si="8" ref="D31:R31">D32+D38+D42+D45+D47+D55+D61+D68+D72+D76+D86+D89+D93+D104+D107</f>
        <v>2339520268</v>
      </c>
      <c r="E31" s="514">
        <f t="shared" si="8"/>
        <v>1000858729</v>
      </c>
      <c r="F31" s="514">
        <f t="shared" si="8"/>
        <v>2130812</v>
      </c>
      <c r="G31" s="514">
        <f t="shared" si="8"/>
        <v>9109528</v>
      </c>
      <c r="H31" s="514">
        <f t="shared" si="8"/>
        <v>3338248185</v>
      </c>
      <c r="I31" s="514">
        <f t="shared" si="8"/>
        <v>2166213707</v>
      </c>
      <c r="J31" s="514">
        <f t="shared" si="8"/>
        <v>55221641</v>
      </c>
      <c r="K31" s="514">
        <f t="shared" si="8"/>
        <v>8238285</v>
      </c>
      <c r="L31" s="514">
        <f t="shared" si="8"/>
        <v>5306</v>
      </c>
      <c r="M31" s="514">
        <f t="shared" si="8"/>
        <v>2017602993</v>
      </c>
      <c r="N31" s="514">
        <f t="shared" si="8"/>
        <v>1892615</v>
      </c>
      <c r="O31" s="514">
        <f t="shared" si="8"/>
        <v>9710</v>
      </c>
      <c r="P31" s="514">
        <f t="shared" si="8"/>
        <v>0</v>
      </c>
      <c r="Q31" s="514">
        <f t="shared" si="8"/>
        <v>83243157</v>
      </c>
      <c r="R31" s="514">
        <f t="shared" si="8"/>
        <v>1172034478</v>
      </c>
      <c r="S31" s="514">
        <f>M31+N31+O31+P31+Q31+R31</f>
        <v>3274782953</v>
      </c>
      <c r="T31" s="402">
        <f>(J31+K31+L31)/I31*100</f>
        <v>2.929777048077741</v>
      </c>
      <c r="U31" s="401">
        <f>C31-F31-H31</f>
        <v>0</v>
      </c>
    </row>
    <row r="32" spans="1:21" s="400" customFormat="1" ht="24" customHeight="1">
      <c r="A32" s="399">
        <v>1</v>
      </c>
      <c r="B32" s="515" t="s">
        <v>456</v>
      </c>
      <c r="C32" s="514">
        <f>SUM(C33:C37)</f>
        <v>918339507</v>
      </c>
      <c r="D32" s="514">
        <f aca="true" t="shared" si="9" ref="D32:R32">SUM(D33:D37)</f>
        <v>323063545</v>
      </c>
      <c r="E32" s="514">
        <f t="shared" si="9"/>
        <v>595275962</v>
      </c>
      <c r="F32" s="514">
        <f t="shared" si="9"/>
        <v>0</v>
      </c>
      <c r="G32" s="514">
        <f t="shared" si="9"/>
        <v>0</v>
      </c>
      <c r="H32" s="514">
        <f t="shared" si="9"/>
        <v>918339507</v>
      </c>
      <c r="I32" s="514">
        <f t="shared" si="9"/>
        <v>836771543</v>
      </c>
      <c r="J32" s="514">
        <f t="shared" si="9"/>
        <v>1390579</v>
      </c>
      <c r="K32" s="514">
        <f t="shared" si="9"/>
        <v>2350</v>
      </c>
      <c r="L32" s="514">
        <f t="shared" si="9"/>
        <v>0</v>
      </c>
      <c r="M32" s="514">
        <f t="shared" si="9"/>
        <v>834867189</v>
      </c>
      <c r="N32" s="514">
        <f t="shared" si="9"/>
        <v>511425</v>
      </c>
      <c r="O32" s="514">
        <f t="shared" si="9"/>
        <v>0</v>
      </c>
      <c r="P32" s="514">
        <f t="shared" si="9"/>
        <v>0</v>
      </c>
      <c r="Q32" s="514">
        <f t="shared" si="9"/>
        <v>0</v>
      </c>
      <c r="R32" s="514">
        <f t="shared" si="9"/>
        <v>81567964</v>
      </c>
      <c r="S32" s="514">
        <f>M32+N32+O32+P32+Q32+R32</f>
        <v>916946578</v>
      </c>
      <c r="T32" s="402">
        <f>(J32+K32+L32)/I32*100</f>
        <v>0.16646467146887667</v>
      </c>
      <c r="U32" s="401">
        <f t="shared" si="2"/>
        <v>0</v>
      </c>
    </row>
    <row r="33" spans="1:21" s="415" customFormat="1" ht="24" customHeight="1">
      <c r="A33" s="414">
        <v>1.1</v>
      </c>
      <c r="B33" s="419" t="s">
        <v>577</v>
      </c>
      <c r="C33" s="492">
        <f>SUM(E33+D33)</f>
        <v>122327383</v>
      </c>
      <c r="D33" s="492">
        <v>121768155</v>
      </c>
      <c r="E33" s="492">
        <v>559228</v>
      </c>
      <c r="F33" s="492">
        <v>0</v>
      </c>
      <c r="G33" s="492">
        <v>0</v>
      </c>
      <c r="H33" s="492">
        <f>SUM(I33+R33)</f>
        <v>122327383</v>
      </c>
      <c r="I33" s="492">
        <f>SUM(J33+K33+L33+M33+N33+O33+P33+Q33)</f>
        <v>118648220</v>
      </c>
      <c r="J33" s="492">
        <v>25782</v>
      </c>
      <c r="K33" s="492">
        <v>0</v>
      </c>
      <c r="L33" s="492">
        <v>0</v>
      </c>
      <c r="M33" s="492">
        <v>118622438</v>
      </c>
      <c r="N33" s="492">
        <v>0</v>
      </c>
      <c r="O33" s="492">
        <v>0</v>
      </c>
      <c r="P33" s="492">
        <v>0</v>
      </c>
      <c r="Q33" s="492">
        <v>0</v>
      </c>
      <c r="R33" s="492">
        <v>3679163</v>
      </c>
      <c r="S33" s="494">
        <f aca="true" t="shared" si="10" ref="S33:S96">M33+N33+O33+P33+Q33+R33</f>
        <v>122301601</v>
      </c>
      <c r="T33" s="491">
        <f aca="true" t="shared" si="11" ref="T33:T96">(J33+K33+L33)/I33*100</f>
        <v>0.02172978237684476</v>
      </c>
      <c r="U33" s="404">
        <f t="shared" si="2"/>
        <v>0</v>
      </c>
    </row>
    <row r="34" spans="1:21" s="415" customFormat="1" ht="24" customHeight="1">
      <c r="A34" s="414">
        <v>1.2</v>
      </c>
      <c r="B34" s="419" t="s">
        <v>547</v>
      </c>
      <c r="C34" s="492">
        <f>SUM(E34+D34)</f>
        <v>706026351</v>
      </c>
      <c r="D34" s="492">
        <v>116610405</v>
      </c>
      <c r="E34" s="492">
        <v>589415946</v>
      </c>
      <c r="F34" s="492">
        <v>0</v>
      </c>
      <c r="G34" s="492"/>
      <c r="H34" s="492">
        <f>SUM(I34+R34)</f>
        <v>706026351</v>
      </c>
      <c r="I34" s="492">
        <f>SUM(J34+K34+L34+M34+N34+O34+P34+Q34)</f>
        <v>660968846</v>
      </c>
      <c r="J34" s="492">
        <v>392510</v>
      </c>
      <c r="K34" s="492">
        <v>0</v>
      </c>
      <c r="L34" s="492">
        <v>0</v>
      </c>
      <c r="M34" s="492">
        <v>660064911</v>
      </c>
      <c r="N34" s="492">
        <v>511425</v>
      </c>
      <c r="O34" s="492"/>
      <c r="P34" s="492"/>
      <c r="Q34" s="492">
        <v>0</v>
      </c>
      <c r="R34" s="492">
        <v>45057505</v>
      </c>
      <c r="S34" s="494">
        <f t="shared" si="10"/>
        <v>705633841</v>
      </c>
      <c r="T34" s="491">
        <f t="shared" si="11"/>
        <v>0.05938403941053524</v>
      </c>
      <c r="U34" s="404">
        <f t="shared" si="2"/>
        <v>0</v>
      </c>
    </row>
    <row r="35" spans="1:21" s="415" customFormat="1" ht="24" customHeight="1">
      <c r="A35" s="414">
        <v>1.3</v>
      </c>
      <c r="B35" s="419" t="s">
        <v>457</v>
      </c>
      <c r="C35" s="492">
        <f>SUM(E35+D35)</f>
        <v>18775848</v>
      </c>
      <c r="D35" s="492">
        <v>17666614</v>
      </c>
      <c r="E35" s="492">
        <v>1109234</v>
      </c>
      <c r="F35" s="492">
        <v>0</v>
      </c>
      <c r="G35" s="492"/>
      <c r="H35" s="492">
        <f>SUM(I35+R35)</f>
        <v>18775848</v>
      </c>
      <c r="I35" s="492">
        <f>SUM(J35+K35+L35+M35+N35+O35+P35+Q35)</f>
        <v>17831784</v>
      </c>
      <c r="J35" s="492">
        <v>32472</v>
      </c>
      <c r="K35" s="492">
        <v>0</v>
      </c>
      <c r="L35" s="492">
        <v>0</v>
      </c>
      <c r="M35" s="492">
        <v>17799312</v>
      </c>
      <c r="N35" s="492">
        <v>0</v>
      </c>
      <c r="O35" s="492"/>
      <c r="P35" s="492"/>
      <c r="Q35" s="492"/>
      <c r="R35" s="492">
        <v>944064</v>
      </c>
      <c r="S35" s="494">
        <f t="shared" si="10"/>
        <v>18743376</v>
      </c>
      <c r="T35" s="491">
        <f t="shared" si="11"/>
        <v>0.18210180204067075</v>
      </c>
      <c r="U35" s="404">
        <f t="shared" si="2"/>
        <v>0</v>
      </c>
    </row>
    <row r="36" spans="1:21" s="415" customFormat="1" ht="24" customHeight="1">
      <c r="A36" s="414">
        <v>1.4</v>
      </c>
      <c r="B36" s="419" t="s">
        <v>548</v>
      </c>
      <c r="C36" s="492">
        <f>SUM(E36+D36)</f>
        <v>20438830</v>
      </c>
      <c r="D36" s="492">
        <v>17052876</v>
      </c>
      <c r="E36" s="492">
        <v>3385954</v>
      </c>
      <c r="F36" s="492">
        <v>0</v>
      </c>
      <c r="G36" s="492"/>
      <c r="H36" s="492">
        <f>SUM(I36+R36)</f>
        <v>20438830</v>
      </c>
      <c r="I36" s="492">
        <f>SUM(J36+K36+L36+M36+N36+O36+P36+Q36)</f>
        <v>6681085</v>
      </c>
      <c r="J36" s="492">
        <v>188074</v>
      </c>
      <c r="K36" s="492">
        <v>0</v>
      </c>
      <c r="L36" s="492">
        <v>0</v>
      </c>
      <c r="M36" s="492">
        <v>6493011</v>
      </c>
      <c r="N36" s="492">
        <v>0</v>
      </c>
      <c r="O36" s="492"/>
      <c r="P36" s="492"/>
      <c r="Q36" s="492"/>
      <c r="R36" s="492">
        <v>13757745</v>
      </c>
      <c r="S36" s="494">
        <f t="shared" si="10"/>
        <v>20250756</v>
      </c>
      <c r="T36" s="491">
        <f t="shared" si="11"/>
        <v>2.8150218115770116</v>
      </c>
      <c r="U36" s="404">
        <f t="shared" si="2"/>
        <v>0</v>
      </c>
    </row>
    <row r="37" spans="1:21" s="415" customFormat="1" ht="24" customHeight="1">
      <c r="A37" s="414">
        <v>1.5</v>
      </c>
      <c r="B37" s="419" t="s">
        <v>518</v>
      </c>
      <c r="C37" s="492">
        <f>SUM(E37+D37)</f>
        <v>50771095</v>
      </c>
      <c r="D37" s="492">
        <v>49965495</v>
      </c>
      <c r="E37" s="492">
        <v>805600</v>
      </c>
      <c r="F37" s="492">
        <v>0</v>
      </c>
      <c r="G37" s="492"/>
      <c r="H37" s="492">
        <f>SUM(I37+R37)</f>
        <v>50771095</v>
      </c>
      <c r="I37" s="492">
        <f>SUM(J37+K37+L37+M37+N37+O37+P37+Q37)</f>
        <v>32641608</v>
      </c>
      <c r="J37" s="492">
        <v>751741</v>
      </c>
      <c r="K37" s="492">
        <v>2350</v>
      </c>
      <c r="L37" s="492">
        <v>0</v>
      </c>
      <c r="M37" s="492">
        <v>31887517</v>
      </c>
      <c r="N37" s="492">
        <v>0</v>
      </c>
      <c r="O37" s="492"/>
      <c r="P37" s="492"/>
      <c r="Q37" s="492"/>
      <c r="R37" s="492">
        <v>18129487</v>
      </c>
      <c r="S37" s="494">
        <f t="shared" si="10"/>
        <v>50017004</v>
      </c>
      <c r="T37" s="491">
        <f t="shared" si="11"/>
        <v>2.31021400661389</v>
      </c>
      <c r="U37" s="404">
        <f t="shared" si="2"/>
        <v>0</v>
      </c>
    </row>
    <row r="38" spans="1:21" s="400" customFormat="1" ht="24" customHeight="1">
      <c r="A38" s="399">
        <v>2</v>
      </c>
      <c r="B38" s="515" t="s">
        <v>458</v>
      </c>
      <c r="C38" s="514">
        <f>SUM(C39:C41)</f>
        <v>64125752</v>
      </c>
      <c r="D38" s="514">
        <f aca="true" t="shared" si="12" ref="D38:R38">SUM(D39:D41)</f>
        <v>57165074</v>
      </c>
      <c r="E38" s="514">
        <f t="shared" si="12"/>
        <v>6960678</v>
      </c>
      <c r="F38" s="514">
        <f t="shared" si="12"/>
        <v>726424</v>
      </c>
      <c r="G38" s="514">
        <f t="shared" si="12"/>
        <v>0</v>
      </c>
      <c r="H38" s="514">
        <f t="shared" si="12"/>
        <v>63399328</v>
      </c>
      <c r="I38" s="514">
        <f t="shared" si="12"/>
        <v>21449418</v>
      </c>
      <c r="J38" s="514">
        <f t="shared" si="12"/>
        <v>963730</v>
      </c>
      <c r="K38" s="514">
        <f t="shared" si="12"/>
        <v>42677</v>
      </c>
      <c r="L38" s="514">
        <f t="shared" si="12"/>
        <v>5306</v>
      </c>
      <c r="M38" s="514">
        <f t="shared" si="12"/>
        <v>19915865</v>
      </c>
      <c r="N38" s="514">
        <f t="shared" si="12"/>
        <v>0</v>
      </c>
      <c r="O38" s="514">
        <f t="shared" si="12"/>
        <v>0</v>
      </c>
      <c r="P38" s="514">
        <f t="shared" si="12"/>
        <v>0</v>
      </c>
      <c r="Q38" s="514">
        <f t="shared" si="12"/>
        <v>521840</v>
      </c>
      <c r="R38" s="514">
        <f t="shared" si="12"/>
        <v>41949910</v>
      </c>
      <c r="S38" s="514">
        <f t="shared" si="10"/>
        <v>62387615</v>
      </c>
      <c r="T38" s="402">
        <f t="shared" si="11"/>
        <v>4.7167387012552044</v>
      </c>
      <c r="U38" s="401">
        <f t="shared" si="2"/>
        <v>0</v>
      </c>
    </row>
    <row r="39" spans="1:21" s="415" customFormat="1" ht="24" customHeight="1">
      <c r="A39" s="414">
        <v>2.1</v>
      </c>
      <c r="B39" s="420" t="s">
        <v>459</v>
      </c>
      <c r="C39" s="492">
        <f>D39+E39</f>
        <v>579234</v>
      </c>
      <c r="D39" s="492">
        <v>339640</v>
      </c>
      <c r="E39" s="492">
        <v>239594</v>
      </c>
      <c r="F39" s="492">
        <f>C39-H39</f>
        <v>0</v>
      </c>
      <c r="G39" s="492"/>
      <c r="H39" s="492">
        <f>I39+R39</f>
        <v>579234</v>
      </c>
      <c r="I39" s="492">
        <f>J39+K39+L39+M39+N39+O39+P39+Q39</f>
        <v>397853</v>
      </c>
      <c r="J39" s="492">
        <v>244415</v>
      </c>
      <c r="K39" s="492">
        <v>0</v>
      </c>
      <c r="L39" s="492">
        <v>0</v>
      </c>
      <c r="M39" s="492">
        <v>153438</v>
      </c>
      <c r="N39" s="492"/>
      <c r="O39" s="492"/>
      <c r="P39" s="492"/>
      <c r="Q39" s="498"/>
      <c r="R39" s="492">
        <v>181381</v>
      </c>
      <c r="S39" s="494">
        <f t="shared" si="10"/>
        <v>334819</v>
      </c>
      <c r="T39" s="491">
        <f t="shared" si="11"/>
        <v>61.43349428055086</v>
      </c>
      <c r="U39" s="404">
        <f t="shared" si="2"/>
        <v>0</v>
      </c>
    </row>
    <row r="40" spans="1:21" s="415" customFormat="1" ht="24" customHeight="1">
      <c r="A40" s="414">
        <v>2.2</v>
      </c>
      <c r="B40" s="420" t="s">
        <v>460</v>
      </c>
      <c r="C40" s="492">
        <f>D40+E40</f>
        <v>11410777</v>
      </c>
      <c r="D40" s="492">
        <v>10300204</v>
      </c>
      <c r="E40" s="492">
        <v>1110573</v>
      </c>
      <c r="F40" s="492">
        <f>C40-H40</f>
        <v>726424</v>
      </c>
      <c r="G40" s="492"/>
      <c r="H40" s="492">
        <f>I40+R40</f>
        <v>10684353</v>
      </c>
      <c r="I40" s="492">
        <f>J40+K40+L40+M40+N40+O40+P40+Q40</f>
        <v>8490133</v>
      </c>
      <c r="J40" s="492">
        <v>699368</v>
      </c>
      <c r="K40" s="492">
        <v>3130</v>
      </c>
      <c r="L40" s="492">
        <v>5306</v>
      </c>
      <c r="M40" s="492">
        <v>7782329</v>
      </c>
      <c r="N40" s="492"/>
      <c r="O40" s="492"/>
      <c r="P40" s="492"/>
      <c r="Q40" s="498">
        <v>0</v>
      </c>
      <c r="R40" s="492">
        <v>2194220</v>
      </c>
      <c r="S40" s="494">
        <f t="shared" si="10"/>
        <v>9976549</v>
      </c>
      <c r="T40" s="491">
        <f t="shared" si="11"/>
        <v>8.336783416702659</v>
      </c>
      <c r="U40" s="404">
        <f t="shared" si="2"/>
        <v>0</v>
      </c>
    </row>
    <row r="41" spans="1:21" s="415" customFormat="1" ht="24" customHeight="1">
      <c r="A41" s="414">
        <v>2.3</v>
      </c>
      <c r="B41" s="420" t="s">
        <v>461</v>
      </c>
      <c r="C41" s="492">
        <f>D41+E41</f>
        <v>52135741</v>
      </c>
      <c r="D41" s="492">
        <v>46525230</v>
      </c>
      <c r="E41" s="492">
        <v>5610511</v>
      </c>
      <c r="F41" s="492"/>
      <c r="G41" s="492"/>
      <c r="H41" s="492">
        <f>I41+R41</f>
        <v>52135741</v>
      </c>
      <c r="I41" s="492">
        <f>J41+K41+L41+M41+N41+O41+P41+Q41</f>
        <v>12561432</v>
      </c>
      <c r="J41" s="492">
        <v>19947</v>
      </c>
      <c r="K41" s="492">
        <v>39547</v>
      </c>
      <c r="L41" s="492">
        <v>0</v>
      </c>
      <c r="M41" s="492">
        <v>11980098</v>
      </c>
      <c r="N41" s="492"/>
      <c r="O41" s="492"/>
      <c r="P41" s="492"/>
      <c r="Q41" s="498">
        <v>521840</v>
      </c>
      <c r="R41" s="492">
        <v>39574309</v>
      </c>
      <c r="S41" s="494">
        <f t="shared" si="10"/>
        <v>52076247</v>
      </c>
      <c r="T41" s="491">
        <f t="shared" si="11"/>
        <v>0.47362434474031306</v>
      </c>
      <c r="U41" s="404">
        <f t="shared" si="2"/>
        <v>0</v>
      </c>
    </row>
    <row r="42" spans="1:21" s="400" customFormat="1" ht="24" customHeight="1">
      <c r="A42" s="399">
        <v>3</v>
      </c>
      <c r="B42" s="515" t="s">
        <v>463</v>
      </c>
      <c r="C42" s="514">
        <f>C43+C44</f>
        <v>27945459</v>
      </c>
      <c r="D42" s="514">
        <f aca="true" t="shared" si="13" ref="D42:R42">D43+D44</f>
        <v>16282096</v>
      </c>
      <c r="E42" s="514">
        <f t="shared" si="13"/>
        <v>11663363</v>
      </c>
      <c r="F42" s="514">
        <f t="shared" si="13"/>
        <v>0</v>
      </c>
      <c r="G42" s="514">
        <f t="shared" si="13"/>
        <v>0</v>
      </c>
      <c r="H42" s="514">
        <f t="shared" si="13"/>
        <v>27945459</v>
      </c>
      <c r="I42" s="514">
        <f t="shared" si="13"/>
        <v>25621787</v>
      </c>
      <c r="J42" s="514">
        <f t="shared" si="13"/>
        <v>42221</v>
      </c>
      <c r="K42" s="514">
        <f t="shared" si="13"/>
        <v>0</v>
      </c>
      <c r="L42" s="514">
        <f t="shared" si="13"/>
        <v>0</v>
      </c>
      <c r="M42" s="514">
        <f t="shared" si="13"/>
        <v>25506454</v>
      </c>
      <c r="N42" s="514">
        <f t="shared" si="13"/>
        <v>0</v>
      </c>
      <c r="O42" s="514">
        <f t="shared" si="13"/>
        <v>0</v>
      </c>
      <c r="P42" s="514">
        <f t="shared" si="13"/>
        <v>0</v>
      </c>
      <c r="Q42" s="514">
        <f t="shared" si="13"/>
        <v>73112</v>
      </c>
      <c r="R42" s="514">
        <f t="shared" si="13"/>
        <v>2323672</v>
      </c>
      <c r="S42" s="514">
        <f t="shared" si="10"/>
        <v>27903238</v>
      </c>
      <c r="T42" s="402">
        <f t="shared" si="11"/>
        <v>0.16478553974396867</v>
      </c>
      <c r="U42" s="401">
        <f>D42-16282096</f>
        <v>0</v>
      </c>
    </row>
    <row r="43" spans="1:21" s="415" customFormat="1" ht="24" customHeight="1">
      <c r="A43" s="414">
        <v>3.1</v>
      </c>
      <c r="B43" s="417" t="s">
        <v>464</v>
      </c>
      <c r="C43" s="499">
        <f>D43+E43</f>
        <v>22300047</v>
      </c>
      <c r="D43" s="499">
        <v>10693791</v>
      </c>
      <c r="E43" s="499">
        <v>11606256</v>
      </c>
      <c r="F43" s="499">
        <v>0</v>
      </c>
      <c r="G43" s="499"/>
      <c r="H43" s="499">
        <f>I43+R43</f>
        <v>22300047</v>
      </c>
      <c r="I43" s="499">
        <f>SUM(J43:Q43)</f>
        <v>22016926</v>
      </c>
      <c r="J43" s="499">
        <v>16921</v>
      </c>
      <c r="K43" s="499">
        <v>0</v>
      </c>
      <c r="L43" s="499"/>
      <c r="M43" s="499">
        <v>21926893</v>
      </c>
      <c r="N43" s="499"/>
      <c r="O43" s="499">
        <v>0</v>
      </c>
      <c r="P43" s="499"/>
      <c r="Q43" s="499">
        <v>73112</v>
      </c>
      <c r="R43" s="500">
        <v>283121</v>
      </c>
      <c r="S43" s="494">
        <f t="shared" si="10"/>
        <v>22283126</v>
      </c>
      <c r="T43" s="491">
        <f t="shared" si="11"/>
        <v>0.07685450730042877</v>
      </c>
      <c r="U43" s="404">
        <f t="shared" si="2"/>
        <v>0</v>
      </c>
    </row>
    <row r="44" spans="1:21" s="415" customFormat="1" ht="24" customHeight="1">
      <c r="A44" s="414">
        <v>3.2</v>
      </c>
      <c r="B44" s="417" t="s">
        <v>465</v>
      </c>
      <c r="C44" s="499">
        <f>D44+E44</f>
        <v>5645412</v>
      </c>
      <c r="D44" s="499">
        <v>5588305</v>
      </c>
      <c r="E44" s="499">
        <v>57107</v>
      </c>
      <c r="F44" s="499">
        <v>0</v>
      </c>
      <c r="G44" s="499"/>
      <c r="H44" s="499">
        <f>I44+R44</f>
        <v>5645412</v>
      </c>
      <c r="I44" s="499">
        <f>SUM(J44:Q44)</f>
        <v>3604861</v>
      </c>
      <c r="J44" s="499">
        <v>25300</v>
      </c>
      <c r="K44" s="499">
        <v>0</v>
      </c>
      <c r="L44" s="499">
        <v>0</v>
      </c>
      <c r="M44" s="499">
        <v>3579561</v>
      </c>
      <c r="N44" s="499">
        <v>0</v>
      </c>
      <c r="O44" s="499">
        <v>0</v>
      </c>
      <c r="P44" s="499">
        <v>0</v>
      </c>
      <c r="Q44" s="499">
        <v>0</v>
      </c>
      <c r="R44" s="500">
        <v>2040551</v>
      </c>
      <c r="S44" s="494">
        <f t="shared" si="10"/>
        <v>5620112</v>
      </c>
      <c r="T44" s="491">
        <f t="shared" si="11"/>
        <v>0.7018301121735346</v>
      </c>
      <c r="U44" s="404">
        <f t="shared" si="2"/>
        <v>0</v>
      </c>
    </row>
    <row r="45" spans="1:21" s="400" customFormat="1" ht="24" customHeight="1">
      <c r="A45" s="399">
        <v>4</v>
      </c>
      <c r="B45" s="515" t="s">
        <v>467</v>
      </c>
      <c r="C45" s="514">
        <f>C46</f>
        <v>300</v>
      </c>
      <c r="D45" s="514">
        <f aca="true" t="shared" si="14" ref="D45:R45">D46</f>
        <v>0</v>
      </c>
      <c r="E45" s="514">
        <f t="shared" si="14"/>
        <v>300</v>
      </c>
      <c r="F45" s="514">
        <f t="shared" si="14"/>
        <v>0</v>
      </c>
      <c r="G45" s="514">
        <f t="shared" si="14"/>
        <v>0</v>
      </c>
      <c r="H45" s="514">
        <f t="shared" si="14"/>
        <v>300</v>
      </c>
      <c r="I45" s="514">
        <f t="shared" si="14"/>
        <v>300</v>
      </c>
      <c r="J45" s="514">
        <f t="shared" si="14"/>
        <v>300</v>
      </c>
      <c r="K45" s="514">
        <f t="shared" si="14"/>
        <v>0</v>
      </c>
      <c r="L45" s="514">
        <f t="shared" si="14"/>
        <v>0</v>
      </c>
      <c r="M45" s="514">
        <f t="shared" si="14"/>
        <v>0</v>
      </c>
      <c r="N45" s="514">
        <f t="shared" si="14"/>
        <v>0</v>
      </c>
      <c r="O45" s="514">
        <f t="shared" si="14"/>
        <v>0</v>
      </c>
      <c r="P45" s="514">
        <f t="shared" si="14"/>
        <v>0</v>
      </c>
      <c r="Q45" s="514">
        <f t="shared" si="14"/>
        <v>0</v>
      </c>
      <c r="R45" s="514">
        <f t="shared" si="14"/>
        <v>0</v>
      </c>
      <c r="S45" s="514">
        <f t="shared" si="10"/>
        <v>0</v>
      </c>
      <c r="T45" s="402">
        <f t="shared" si="11"/>
        <v>100</v>
      </c>
      <c r="U45" s="401">
        <f t="shared" si="2"/>
        <v>0</v>
      </c>
    </row>
    <row r="46" spans="1:21" s="415" customFormat="1" ht="24" customHeight="1">
      <c r="A46" s="414" t="s">
        <v>111</v>
      </c>
      <c r="B46" s="418" t="s">
        <v>468</v>
      </c>
      <c r="C46" s="494">
        <f>D46+E46</f>
        <v>300</v>
      </c>
      <c r="D46" s="494"/>
      <c r="E46" s="494">
        <v>300</v>
      </c>
      <c r="F46" s="494"/>
      <c r="G46" s="494"/>
      <c r="H46" s="494">
        <f>I46+R46</f>
        <v>300</v>
      </c>
      <c r="I46" s="494">
        <f>SUM(J46:Q46)</f>
        <v>300</v>
      </c>
      <c r="J46" s="494">
        <v>300</v>
      </c>
      <c r="K46" s="494"/>
      <c r="L46" s="501"/>
      <c r="M46" s="501"/>
      <c r="N46" s="501"/>
      <c r="O46" s="502"/>
      <c r="P46" s="502"/>
      <c r="Q46" s="502"/>
      <c r="R46" s="502"/>
      <c r="S46" s="494">
        <f t="shared" si="10"/>
        <v>0</v>
      </c>
      <c r="T46" s="491">
        <f t="shared" si="11"/>
        <v>100</v>
      </c>
      <c r="U46" s="404">
        <f t="shared" si="2"/>
        <v>0</v>
      </c>
    </row>
    <row r="47" spans="1:21" s="400" customFormat="1" ht="24" customHeight="1">
      <c r="A47" s="399">
        <v>5</v>
      </c>
      <c r="B47" s="515" t="s">
        <v>469</v>
      </c>
      <c r="C47" s="514">
        <f>SUM(C48:C54)</f>
        <v>508213411</v>
      </c>
      <c r="D47" s="514">
        <f aca="true" t="shared" si="15" ref="D47:R47">SUM(D48:D54)</f>
        <v>488927313</v>
      </c>
      <c r="E47" s="514">
        <f t="shared" si="15"/>
        <v>19286098</v>
      </c>
      <c r="F47" s="514">
        <f t="shared" si="15"/>
        <v>129270</v>
      </c>
      <c r="G47" s="514">
        <f t="shared" si="15"/>
        <v>0</v>
      </c>
      <c r="H47" s="514">
        <f t="shared" si="15"/>
        <v>508084141</v>
      </c>
      <c r="I47" s="514">
        <f t="shared" si="15"/>
        <v>177505118</v>
      </c>
      <c r="J47" s="514">
        <f t="shared" si="15"/>
        <v>17746593</v>
      </c>
      <c r="K47" s="514">
        <f t="shared" si="15"/>
        <v>7455</v>
      </c>
      <c r="L47" s="514">
        <f t="shared" si="15"/>
        <v>0</v>
      </c>
      <c r="M47" s="514">
        <f t="shared" si="15"/>
        <v>159739070</v>
      </c>
      <c r="N47" s="514">
        <f t="shared" si="15"/>
        <v>0</v>
      </c>
      <c r="O47" s="514">
        <f t="shared" si="15"/>
        <v>0</v>
      </c>
      <c r="P47" s="514">
        <f t="shared" si="15"/>
        <v>0</v>
      </c>
      <c r="Q47" s="514">
        <f t="shared" si="15"/>
        <v>12000</v>
      </c>
      <c r="R47" s="514">
        <f t="shared" si="15"/>
        <v>330579023</v>
      </c>
      <c r="S47" s="514">
        <f t="shared" si="10"/>
        <v>490330093</v>
      </c>
      <c r="T47" s="402">
        <f t="shared" si="11"/>
        <v>10.001992167910336</v>
      </c>
      <c r="U47" s="401">
        <f t="shared" si="2"/>
        <v>0</v>
      </c>
    </row>
    <row r="48" spans="1:21" s="415" customFormat="1" ht="24" customHeight="1">
      <c r="A48" s="421" t="s">
        <v>112</v>
      </c>
      <c r="B48" s="422" t="s">
        <v>470</v>
      </c>
      <c r="C48" s="503">
        <v>1311603</v>
      </c>
      <c r="D48" s="504">
        <v>1308403</v>
      </c>
      <c r="E48" s="503">
        <v>3200</v>
      </c>
      <c r="F48" s="503">
        <v>0</v>
      </c>
      <c r="G48" s="503">
        <v>0</v>
      </c>
      <c r="H48" s="503">
        <v>1311603</v>
      </c>
      <c r="I48" s="503">
        <v>67120</v>
      </c>
      <c r="J48" s="503">
        <v>3200</v>
      </c>
      <c r="K48" s="503">
        <v>0</v>
      </c>
      <c r="L48" s="503">
        <v>0</v>
      </c>
      <c r="M48" s="505">
        <v>63920</v>
      </c>
      <c r="N48" s="503">
        <v>0</v>
      </c>
      <c r="O48" s="503">
        <v>0</v>
      </c>
      <c r="P48" s="503">
        <v>0</v>
      </c>
      <c r="Q48" s="506">
        <v>0</v>
      </c>
      <c r="R48" s="506">
        <v>1244483</v>
      </c>
      <c r="S48" s="494">
        <f t="shared" si="10"/>
        <v>1308403</v>
      </c>
      <c r="T48" s="491">
        <f t="shared" si="11"/>
        <v>4.767580452920143</v>
      </c>
      <c r="U48" s="404">
        <f t="shared" si="2"/>
        <v>0</v>
      </c>
    </row>
    <row r="49" spans="1:21" s="415" customFormat="1" ht="24" customHeight="1">
      <c r="A49" s="421" t="s">
        <v>113</v>
      </c>
      <c r="B49" s="422" t="s">
        <v>471</v>
      </c>
      <c r="C49" s="503">
        <v>284925472</v>
      </c>
      <c r="D49" s="504">
        <v>284483551</v>
      </c>
      <c r="E49" s="503">
        <v>441921</v>
      </c>
      <c r="F49" s="503">
        <v>0</v>
      </c>
      <c r="G49" s="503">
        <v>0</v>
      </c>
      <c r="H49" s="503">
        <v>284925472</v>
      </c>
      <c r="I49" s="503">
        <v>51014308</v>
      </c>
      <c r="J49" s="503">
        <v>17488315</v>
      </c>
      <c r="K49" s="503">
        <v>0</v>
      </c>
      <c r="L49" s="503">
        <v>0</v>
      </c>
      <c r="M49" s="505">
        <v>33513993</v>
      </c>
      <c r="N49" s="503">
        <v>0</v>
      </c>
      <c r="O49" s="503">
        <v>0</v>
      </c>
      <c r="P49" s="503">
        <v>0</v>
      </c>
      <c r="Q49" s="506">
        <v>12000</v>
      </c>
      <c r="R49" s="506">
        <v>233911164</v>
      </c>
      <c r="S49" s="494">
        <f t="shared" si="10"/>
        <v>267437157</v>
      </c>
      <c r="T49" s="491">
        <f t="shared" si="11"/>
        <v>34.281196169513855</v>
      </c>
      <c r="U49" s="404">
        <f t="shared" si="2"/>
        <v>0</v>
      </c>
    </row>
    <row r="50" spans="1:21" s="415" customFormat="1" ht="24" customHeight="1">
      <c r="A50" s="421" t="s">
        <v>114</v>
      </c>
      <c r="B50" s="422" t="s">
        <v>549</v>
      </c>
      <c r="C50" s="503">
        <v>48431673</v>
      </c>
      <c r="D50" s="504">
        <v>48387681</v>
      </c>
      <c r="E50" s="503">
        <v>43992</v>
      </c>
      <c r="F50" s="503">
        <v>128870</v>
      </c>
      <c r="G50" s="503">
        <v>0</v>
      </c>
      <c r="H50" s="503">
        <v>48302803</v>
      </c>
      <c r="I50" s="503">
        <v>23816963</v>
      </c>
      <c r="J50" s="503">
        <v>63470</v>
      </c>
      <c r="K50" s="503">
        <v>2175</v>
      </c>
      <c r="L50" s="503">
        <v>0</v>
      </c>
      <c r="M50" s="505">
        <v>23751318</v>
      </c>
      <c r="N50" s="503">
        <v>0</v>
      </c>
      <c r="O50" s="503">
        <v>0</v>
      </c>
      <c r="P50" s="503">
        <v>0</v>
      </c>
      <c r="Q50" s="506">
        <v>0</v>
      </c>
      <c r="R50" s="506">
        <v>24485840</v>
      </c>
      <c r="S50" s="494">
        <f t="shared" si="10"/>
        <v>48237158</v>
      </c>
      <c r="T50" s="491">
        <f t="shared" si="11"/>
        <v>0.2756228827327817</v>
      </c>
      <c r="U50" s="404">
        <f t="shared" si="2"/>
        <v>0</v>
      </c>
    </row>
    <row r="51" spans="1:21" s="415" customFormat="1" ht="24" customHeight="1">
      <c r="A51" s="421" t="s">
        <v>473</v>
      </c>
      <c r="B51" s="422" t="s">
        <v>474</v>
      </c>
      <c r="C51" s="503">
        <v>14617264</v>
      </c>
      <c r="D51" s="504">
        <v>14039043</v>
      </c>
      <c r="E51" s="503">
        <v>578221</v>
      </c>
      <c r="F51" s="503">
        <v>200</v>
      </c>
      <c r="G51" s="503">
        <v>0</v>
      </c>
      <c r="H51" s="503">
        <v>14617064</v>
      </c>
      <c r="I51" s="503">
        <v>4040518</v>
      </c>
      <c r="J51" s="503">
        <v>19438</v>
      </c>
      <c r="K51" s="503">
        <v>5280</v>
      </c>
      <c r="L51" s="503">
        <v>0</v>
      </c>
      <c r="M51" s="505">
        <v>4015800</v>
      </c>
      <c r="N51" s="503">
        <v>0</v>
      </c>
      <c r="O51" s="503">
        <v>0</v>
      </c>
      <c r="P51" s="503">
        <v>0</v>
      </c>
      <c r="Q51" s="506">
        <v>0</v>
      </c>
      <c r="R51" s="506">
        <v>10576546</v>
      </c>
      <c r="S51" s="494">
        <f t="shared" si="10"/>
        <v>14592346</v>
      </c>
      <c r="T51" s="491">
        <f t="shared" si="11"/>
        <v>0.6117532454997107</v>
      </c>
      <c r="U51" s="404">
        <f t="shared" si="2"/>
        <v>0</v>
      </c>
    </row>
    <row r="52" spans="1:21" s="415" customFormat="1" ht="24" customHeight="1">
      <c r="A52" s="421" t="s">
        <v>475</v>
      </c>
      <c r="B52" s="422" t="s">
        <v>476</v>
      </c>
      <c r="C52" s="503">
        <v>49819096</v>
      </c>
      <c r="D52" s="504">
        <v>49789646</v>
      </c>
      <c r="E52" s="503">
        <v>29450</v>
      </c>
      <c r="F52" s="503">
        <v>0</v>
      </c>
      <c r="G52" s="503">
        <v>0</v>
      </c>
      <c r="H52" s="503">
        <v>49819096</v>
      </c>
      <c r="I52" s="503">
        <v>29187661</v>
      </c>
      <c r="J52" s="503">
        <v>5850</v>
      </c>
      <c r="K52" s="503">
        <v>0</v>
      </c>
      <c r="L52" s="503">
        <v>0</v>
      </c>
      <c r="M52" s="505">
        <v>29181811</v>
      </c>
      <c r="N52" s="503">
        <v>0</v>
      </c>
      <c r="O52" s="503">
        <v>0</v>
      </c>
      <c r="P52" s="503">
        <v>0</v>
      </c>
      <c r="Q52" s="506">
        <v>0</v>
      </c>
      <c r="R52" s="506">
        <v>20631435</v>
      </c>
      <c r="S52" s="494">
        <f t="shared" si="10"/>
        <v>49813246</v>
      </c>
      <c r="T52" s="491">
        <f t="shared" si="11"/>
        <v>0.02004271599563939</v>
      </c>
      <c r="U52" s="404">
        <f t="shared" si="2"/>
        <v>0</v>
      </c>
    </row>
    <row r="53" spans="1:21" s="415" customFormat="1" ht="24" customHeight="1">
      <c r="A53" s="421" t="s">
        <v>477</v>
      </c>
      <c r="B53" s="422" t="s">
        <v>478</v>
      </c>
      <c r="C53" s="503">
        <v>63400678</v>
      </c>
      <c r="D53" s="504">
        <v>45323828</v>
      </c>
      <c r="E53" s="503">
        <v>18076850</v>
      </c>
      <c r="F53" s="503">
        <v>200</v>
      </c>
      <c r="G53" s="503">
        <v>0</v>
      </c>
      <c r="H53" s="503">
        <v>63400478</v>
      </c>
      <c r="I53" s="503">
        <v>53171154</v>
      </c>
      <c r="J53" s="503">
        <v>131610</v>
      </c>
      <c r="K53" s="503">
        <v>0</v>
      </c>
      <c r="L53" s="503">
        <v>0</v>
      </c>
      <c r="M53" s="505">
        <v>53039544</v>
      </c>
      <c r="N53" s="503">
        <v>0</v>
      </c>
      <c r="O53" s="503">
        <v>0</v>
      </c>
      <c r="P53" s="503">
        <v>0</v>
      </c>
      <c r="Q53" s="506">
        <v>0</v>
      </c>
      <c r="R53" s="506">
        <v>10229324</v>
      </c>
      <c r="S53" s="494">
        <f t="shared" si="10"/>
        <v>63268868</v>
      </c>
      <c r="T53" s="491">
        <f t="shared" si="11"/>
        <v>0.2475214286302682</v>
      </c>
      <c r="U53" s="404">
        <f t="shared" si="2"/>
        <v>0</v>
      </c>
    </row>
    <row r="54" spans="1:21" s="415" customFormat="1" ht="24" customHeight="1">
      <c r="A54" s="421" t="s">
        <v>479</v>
      </c>
      <c r="B54" s="422" t="s">
        <v>480</v>
      </c>
      <c r="C54" s="503">
        <v>45707625</v>
      </c>
      <c r="D54" s="504">
        <v>45595161</v>
      </c>
      <c r="E54" s="503">
        <v>112464</v>
      </c>
      <c r="F54" s="503">
        <v>0</v>
      </c>
      <c r="G54" s="503">
        <v>0</v>
      </c>
      <c r="H54" s="503">
        <v>45707625</v>
      </c>
      <c r="I54" s="503">
        <v>16207394</v>
      </c>
      <c r="J54" s="503">
        <v>34710</v>
      </c>
      <c r="K54" s="503">
        <v>0</v>
      </c>
      <c r="L54" s="503">
        <v>0</v>
      </c>
      <c r="M54" s="505">
        <v>16172684</v>
      </c>
      <c r="N54" s="503">
        <v>0</v>
      </c>
      <c r="O54" s="503">
        <v>0</v>
      </c>
      <c r="P54" s="503">
        <v>0</v>
      </c>
      <c r="Q54" s="506">
        <v>0</v>
      </c>
      <c r="R54" s="506">
        <v>29500231</v>
      </c>
      <c r="S54" s="494">
        <f t="shared" si="10"/>
        <v>45672915</v>
      </c>
      <c r="T54" s="491">
        <f t="shared" si="11"/>
        <v>0.21416151171496173</v>
      </c>
      <c r="U54" s="404">
        <f t="shared" si="2"/>
        <v>0</v>
      </c>
    </row>
    <row r="55" spans="1:21" s="400" customFormat="1" ht="24" customHeight="1">
      <c r="A55" s="399">
        <v>6</v>
      </c>
      <c r="B55" s="515" t="s">
        <v>481</v>
      </c>
      <c r="C55" s="514">
        <f>SUM(C56:C60)</f>
        <v>277147533</v>
      </c>
      <c r="D55" s="514">
        <f aca="true" t="shared" si="16" ref="D55:R55">SUM(D56:D60)</f>
        <v>121652883</v>
      </c>
      <c r="E55" s="514">
        <f t="shared" si="16"/>
        <v>155494650</v>
      </c>
      <c r="F55" s="514">
        <f t="shared" si="16"/>
        <v>78437</v>
      </c>
      <c r="G55" s="514">
        <f t="shared" si="16"/>
        <v>0</v>
      </c>
      <c r="H55" s="514">
        <f t="shared" si="16"/>
        <v>277069096</v>
      </c>
      <c r="I55" s="514">
        <f t="shared" si="16"/>
        <v>191990999</v>
      </c>
      <c r="J55" s="514">
        <f t="shared" si="16"/>
        <v>11218858</v>
      </c>
      <c r="K55" s="514">
        <f t="shared" si="16"/>
        <v>2568937</v>
      </c>
      <c r="L55" s="514">
        <f t="shared" si="16"/>
        <v>0</v>
      </c>
      <c r="M55" s="514">
        <f t="shared" si="16"/>
        <v>95476592</v>
      </c>
      <c r="N55" s="514">
        <f t="shared" si="16"/>
        <v>1131951</v>
      </c>
      <c r="O55" s="514">
        <f t="shared" si="16"/>
        <v>0</v>
      </c>
      <c r="P55" s="514">
        <f t="shared" si="16"/>
        <v>0</v>
      </c>
      <c r="Q55" s="514">
        <f t="shared" si="16"/>
        <v>81594661</v>
      </c>
      <c r="R55" s="514">
        <f t="shared" si="16"/>
        <v>85078097</v>
      </c>
      <c r="S55" s="514">
        <f t="shared" si="10"/>
        <v>263281301</v>
      </c>
      <c r="T55" s="402">
        <f t="shared" si="11"/>
        <v>7.181479898440448</v>
      </c>
      <c r="U55" s="401"/>
    </row>
    <row r="56" spans="1:21" s="415" customFormat="1" ht="24" customHeight="1">
      <c r="A56" s="414" t="s">
        <v>572</v>
      </c>
      <c r="B56" s="417" t="s">
        <v>482</v>
      </c>
      <c r="C56" s="507">
        <f>D56+E56</f>
        <v>58403335</v>
      </c>
      <c r="D56" s="507">
        <v>23493512</v>
      </c>
      <c r="E56" s="507">
        <v>34909823</v>
      </c>
      <c r="F56" s="507">
        <v>400</v>
      </c>
      <c r="G56" s="507"/>
      <c r="H56" s="507">
        <f>I56+R56</f>
        <v>58402935</v>
      </c>
      <c r="I56" s="507">
        <f>SUM(J56:Q56)</f>
        <v>49676328</v>
      </c>
      <c r="J56" s="507">
        <v>11065817</v>
      </c>
      <c r="K56" s="507">
        <v>2019596</v>
      </c>
      <c r="L56" s="507"/>
      <c r="M56" s="507">
        <v>35590915</v>
      </c>
      <c r="N56" s="507">
        <v>1000000</v>
      </c>
      <c r="O56" s="507"/>
      <c r="P56" s="507"/>
      <c r="Q56" s="507"/>
      <c r="R56" s="507">
        <v>8726607</v>
      </c>
      <c r="S56" s="494">
        <f t="shared" si="10"/>
        <v>45317522</v>
      </c>
      <c r="T56" s="491">
        <f t="shared" si="11"/>
        <v>26.341345117135067</v>
      </c>
      <c r="U56" s="404"/>
    </row>
    <row r="57" spans="1:21" s="415" customFormat="1" ht="24" customHeight="1">
      <c r="A57" s="414" t="s">
        <v>573</v>
      </c>
      <c r="B57" s="417" t="s">
        <v>483</v>
      </c>
      <c r="C57" s="507">
        <f>D57+E57</f>
        <v>9593222</v>
      </c>
      <c r="D57" s="507">
        <v>981477</v>
      </c>
      <c r="E57" s="507">
        <v>8611745</v>
      </c>
      <c r="F57" s="507"/>
      <c r="G57" s="507"/>
      <c r="H57" s="507">
        <f>I57+R57</f>
        <v>9593222</v>
      </c>
      <c r="I57" s="507">
        <f>SUM(J57:Q57)</f>
        <v>8821039</v>
      </c>
      <c r="J57" s="507">
        <v>3800</v>
      </c>
      <c r="K57" s="507">
        <v>1847</v>
      </c>
      <c r="L57" s="507"/>
      <c r="M57" s="507">
        <v>208301</v>
      </c>
      <c r="N57" s="507"/>
      <c r="O57" s="507"/>
      <c r="P57" s="507"/>
      <c r="Q57" s="507">
        <v>8607091</v>
      </c>
      <c r="R57" s="507">
        <v>772183</v>
      </c>
      <c r="S57" s="494">
        <f t="shared" si="10"/>
        <v>9587575</v>
      </c>
      <c r="T57" s="491">
        <f t="shared" si="11"/>
        <v>0.06401740203166542</v>
      </c>
      <c r="U57" s="404">
        <f t="shared" si="2"/>
        <v>0</v>
      </c>
    </row>
    <row r="58" spans="1:21" s="415" customFormat="1" ht="24" customHeight="1">
      <c r="A58" s="414" t="s">
        <v>574</v>
      </c>
      <c r="B58" s="417" t="s">
        <v>484</v>
      </c>
      <c r="C58" s="507">
        <f>D58+E58</f>
        <v>92380380</v>
      </c>
      <c r="D58" s="507">
        <v>77199785</v>
      </c>
      <c r="E58" s="507">
        <v>15180595</v>
      </c>
      <c r="F58" s="507">
        <v>78037</v>
      </c>
      <c r="G58" s="507"/>
      <c r="H58" s="507">
        <f>I58+R58</f>
        <v>92302343</v>
      </c>
      <c r="I58" s="507">
        <f>SUM(J58:Q58)</f>
        <v>20713250</v>
      </c>
      <c r="J58" s="507">
        <v>78063</v>
      </c>
      <c r="K58" s="507">
        <v>401830</v>
      </c>
      <c r="L58" s="507"/>
      <c r="M58" s="507">
        <v>20035499</v>
      </c>
      <c r="N58" s="507">
        <v>131951</v>
      </c>
      <c r="O58" s="507"/>
      <c r="P58" s="507"/>
      <c r="Q58" s="507">
        <v>65907</v>
      </c>
      <c r="R58" s="507">
        <v>71589093</v>
      </c>
      <c r="S58" s="494">
        <f t="shared" si="10"/>
        <v>91822450</v>
      </c>
      <c r="T58" s="491">
        <f t="shared" si="11"/>
        <v>2.316840669619688</v>
      </c>
      <c r="U58" s="404">
        <f t="shared" si="2"/>
        <v>0</v>
      </c>
    </row>
    <row r="59" spans="1:21" s="415" customFormat="1" ht="24" customHeight="1">
      <c r="A59" s="414" t="s">
        <v>575</v>
      </c>
      <c r="B59" s="417" t="s">
        <v>485</v>
      </c>
      <c r="C59" s="507">
        <f>D59+E59</f>
        <v>106637245</v>
      </c>
      <c r="D59" s="507">
        <v>17350970</v>
      </c>
      <c r="E59" s="507">
        <v>89286275</v>
      </c>
      <c r="F59" s="507"/>
      <c r="G59" s="507"/>
      <c r="H59" s="507">
        <f>I59+R59</f>
        <v>106637245</v>
      </c>
      <c r="I59" s="507">
        <f>SUM(J59:Q59)</f>
        <v>104055980</v>
      </c>
      <c r="J59" s="507">
        <v>4500</v>
      </c>
      <c r="K59" s="507">
        <v>145664</v>
      </c>
      <c r="L59" s="507"/>
      <c r="M59" s="507">
        <v>30984153</v>
      </c>
      <c r="N59" s="507"/>
      <c r="O59" s="507"/>
      <c r="P59" s="507"/>
      <c r="Q59" s="507">
        <v>72921663</v>
      </c>
      <c r="R59" s="507">
        <v>2581265</v>
      </c>
      <c r="S59" s="494">
        <f t="shared" si="10"/>
        <v>106487081</v>
      </c>
      <c r="T59" s="491">
        <f t="shared" si="11"/>
        <v>0.1443107834840439</v>
      </c>
      <c r="U59" s="404">
        <f t="shared" si="2"/>
        <v>0</v>
      </c>
    </row>
    <row r="60" spans="1:21" s="415" customFormat="1" ht="24" customHeight="1">
      <c r="A60" s="414" t="s">
        <v>576</v>
      </c>
      <c r="B60" s="417" t="s">
        <v>550</v>
      </c>
      <c r="C60" s="507">
        <f>D60+E60</f>
        <v>10133351</v>
      </c>
      <c r="D60" s="507">
        <v>2627139</v>
      </c>
      <c r="E60" s="507">
        <v>7506212</v>
      </c>
      <c r="F60" s="507"/>
      <c r="G60" s="507"/>
      <c r="H60" s="507">
        <f>I60+R60</f>
        <v>10133351</v>
      </c>
      <c r="I60" s="507">
        <f>SUM(J60:Q60)</f>
        <v>8724402</v>
      </c>
      <c r="J60" s="507">
        <v>66678</v>
      </c>
      <c r="K60" s="507"/>
      <c r="L60" s="507"/>
      <c r="M60" s="507">
        <v>8657724</v>
      </c>
      <c r="N60" s="507"/>
      <c r="O60" s="507"/>
      <c r="P60" s="507"/>
      <c r="Q60" s="507"/>
      <c r="R60" s="507">
        <v>1408949</v>
      </c>
      <c r="S60" s="494">
        <f t="shared" si="10"/>
        <v>10066673</v>
      </c>
      <c r="T60" s="491">
        <f t="shared" si="11"/>
        <v>0.7642701471115154</v>
      </c>
      <c r="U60" s="404">
        <f t="shared" si="2"/>
        <v>0</v>
      </c>
    </row>
    <row r="61" spans="1:21" s="400" customFormat="1" ht="24" customHeight="1">
      <c r="A61" s="399">
        <v>7</v>
      </c>
      <c r="B61" s="516" t="s">
        <v>531</v>
      </c>
      <c r="C61" s="514">
        <f>SUM(C62:C67)</f>
        <v>375454908</v>
      </c>
      <c r="D61" s="514">
        <f aca="true" t="shared" si="17" ref="D61:R61">SUM(D62:D67)</f>
        <v>324285082</v>
      </c>
      <c r="E61" s="514">
        <f t="shared" si="17"/>
        <v>51169826</v>
      </c>
      <c r="F61" s="514">
        <f t="shared" si="17"/>
        <v>400</v>
      </c>
      <c r="G61" s="514">
        <f t="shared" si="17"/>
        <v>9109528</v>
      </c>
      <c r="H61" s="514">
        <f t="shared" si="17"/>
        <v>375454508</v>
      </c>
      <c r="I61" s="514">
        <f t="shared" si="17"/>
        <v>214803655</v>
      </c>
      <c r="J61" s="514">
        <f t="shared" si="17"/>
        <v>6529584</v>
      </c>
      <c r="K61" s="514">
        <f t="shared" si="17"/>
        <v>1401398</v>
      </c>
      <c r="L61" s="514">
        <f t="shared" si="17"/>
        <v>0</v>
      </c>
      <c r="M61" s="514">
        <f t="shared" si="17"/>
        <v>206872673</v>
      </c>
      <c r="N61" s="514">
        <f t="shared" si="17"/>
        <v>0</v>
      </c>
      <c r="O61" s="514">
        <f t="shared" si="17"/>
        <v>0</v>
      </c>
      <c r="P61" s="514">
        <f t="shared" si="17"/>
        <v>0</v>
      </c>
      <c r="Q61" s="514">
        <f t="shared" si="17"/>
        <v>0</v>
      </c>
      <c r="R61" s="514">
        <f t="shared" si="17"/>
        <v>160650853</v>
      </c>
      <c r="S61" s="514">
        <f t="shared" si="10"/>
        <v>367523526</v>
      </c>
      <c r="T61" s="402">
        <f t="shared" si="11"/>
        <v>3.6922006750769674</v>
      </c>
      <c r="U61" s="401"/>
    </row>
    <row r="62" spans="1:21" s="415" customFormat="1" ht="24" customHeight="1">
      <c r="A62" s="421" t="s">
        <v>566</v>
      </c>
      <c r="B62" s="423" t="s">
        <v>487</v>
      </c>
      <c r="C62" s="492">
        <f aca="true" t="shared" si="18" ref="C62:C67">D62+E62</f>
        <v>102518014</v>
      </c>
      <c r="D62" s="492">
        <v>99333350</v>
      </c>
      <c r="E62" s="492">
        <v>3184664</v>
      </c>
      <c r="F62" s="492">
        <v>0</v>
      </c>
      <c r="G62" s="492"/>
      <c r="H62" s="492">
        <f aca="true" t="shared" si="19" ref="H62:H67">I62+R62</f>
        <v>102518014</v>
      </c>
      <c r="I62" s="492">
        <f>SUM(J62:Q62)</f>
        <v>61200860</v>
      </c>
      <c r="J62" s="492">
        <v>2446692</v>
      </c>
      <c r="K62" s="492">
        <v>0</v>
      </c>
      <c r="L62" s="492"/>
      <c r="M62" s="492">
        <v>58754168</v>
      </c>
      <c r="N62" s="492"/>
      <c r="O62" s="492"/>
      <c r="P62" s="492"/>
      <c r="Q62" s="498"/>
      <c r="R62" s="496">
        <v>41317154</v>
      </c>
      <c r="S62" s="494">
        <f t="shared" si="10"/>
        <v>100071322</v>
      </c>
      <c r="T62" s="491">
        <f t="shared" si="11"/>
        <v>3.9978065667704668</v>
      </c>
      <c r="U62" s="404">
        <f t="shared" si="2"/>
        <v>0</v>
      </c>
    </row>
    <row r="63" spans="1:21" s="415" customFormat="1" ht="24" customHeight="1">
      <c r="A63" s="421" t="s">
        <v>567</v>
      </c>
      <c r="B63" s="423" t="s">
        <v>488</v>
      </c>
      <c r="C63" s="492">
        <f t="shared" si="18"/>
        <v>67084709</v>
      </c>
      <c r="D63" s="508">
        <v>66220500</v>
      </c>
      <c r="E63" s="508">
        <v>864209</v>
      </c>
      <c r="F63" s="492">
        <v>0</v>
      </c>
      <c r="G63" s="508">
        <v>0</v>
      </c>
      <c r="H63" s="492">
        <f t="shared" si="19"/>
        <v>67084709</v>
      </c>
      <c r="I63" s="492">
        <f>SUM(J63:Q63)</f>
        <v>35766648</v>
      </c>
      <c r="J63" s="508">
        <v>6735</v>
      </c>
      <c r="K63" s="508"/>
      <c r="L63" s="508">
        <v>0</v>
      </c>
      <c r="M63" s="508">
        <v>35759913</v>
      </c>
      <c r="N63" s="508">
        <v>0</v>
      </c>
      <c r="O63" s="508">
        <v>0</v>
      </c>
      <c r="P63" s="508">
        <v>0</v>
      </c>
      <c r="Q63" s="509">
        <v>0</v>
      </c>
      <c r="R63" s="508">
        <v>31318061</v>
      </c>
      <c r="S63" s="494">
        <f t="shared" si="10"/>
        <v>67077974</v>
      </c>
      <c r="T63" s="491">
        <f t="shared" si="11"/>
        <v>0.01883039193384854</v>
      </c>
      <c r="U63" s="404">
        <f t="shared" si="2"/>
        <v>0</v>
      </c>
    </row>
    <row r="64" spans="1:21" s="415" customFormat="1" ht="24" customHeight="1">
      <c r="A64" s="421" t="s">
        <v>568</v>
      </c>
      <c r="B64" s="423" t="s">
        <v>551</v>
      </c>
      <c r="C64" s="492">
        <f t="shared" si="18"/>
        <v>57613899</v>
      </c>
      <c r="D64" s="492">
        <v>18253984</v>
      </c>
      <c r="E64" s="492">
        <v>39359915</v>
      </c>
      <c r="F64" s="492">
        <v>0</v>
      </c>
      <c r="G64" s="492"/>
      <c r="H64" s="492">
        <f t="shared" si="19"/>
        <v>57613899</v>
      </c>
      <c r="I64" s="492">
        <f>SUM(J64:Q64)</f>
        <v>43648704</v>
      </c>
      <c r="J64" s="492">
        <v>70757</v>
      </c>
      <c r="K64" s="492">
        <v>0</v>
      </c>
      <c r="L64" s="492"/>
      <c r="M64" s="492">
        <v>43577947</v>
      </c>
      <c r="N64" s="492"/>
      <c r="O64" s="492"/>
      <c r="P64" s="492"/>
      <c r="Q64" s="498">
        <v>0</v>
      </c>
      <c r="R64" s="496">
        <v>13965195</v>
      </c>
      <c r="S64" s="494">
        <f t="shared" si="10"/>
        <v>57543142</v>
      </c>
      <c r="T64" s="491">
        <f t="shared" si="11"/>
        <v>0.1621056148654494</v>
      </c>
      <c r="U64" s="404">
        <f t="shared" si="2"/>
        <v>0</v>
      </c>
    </row>
    <row r="65" spans="1:21" s="415" customFormat="1" ht="24" customHeight="1">
      <c r="A65" s="421" t="s">
        <v>569</v>
      </c>
      <c r="B65" s="423" t="s">
        <v>490</v>
      </c>
      <c r="C65" s="492">
        <f t="shared" si="18"/>
        <v>47892660</v>
      </c>
      <c r="D65" s="492">
        <v>44850213</v>
      </c>
      <c r="E65" s="492">
        <v>3042447</v>
      </c>
      <c r="F65" s="492">
        <v>400</v>
      </c>
      <c r="G65" s="492"/>
      <c r="H65" s="492">
        <f t="shared" si="19"/>
        <v>47892260</v>
      </c>
      <c r="I65" s="492">
        <f>SUM(J65:Q65)</f>
        <v>6688663</v>
      </c>
      <c r="J65" s="492">
        <v>124244</v>
      </c>
      <c r="K65" s="492">
        <v>1398812</v>
      </c>
      <c r="L65" s="492"/>
      <c r="M65" s="492">
        <v>5165607</v>
      </c>
      <c r="N65" s="492"/>
      <c r="O65" s="492"/>
      <c r="P65" s="492"/>
      <c r="Q65" s="498">
        <v>0</v>
      </c>
      <c r="R65" s="496">
        <v>41203597</v>
      </c>
      <c r="S65" s="494">
        <f t="shared" si="10"/>
        <v>46369204</v>
      </c>
      <c r="T65" s="491">
        <f t="shared" si="11"/>
        <v>22.770709183584223</v>
      </c>
      <c r="U65" s="404">
        <f t="shared" si="2"/>
        <v>0</v>
      </c>
    </row>
    <row r="66" spans="1:21" s="415" customFormat="1" ht="24" customHeight="1">
      <c r="A66" s="421" t="s">
        <v>570</v>
      </c>
      <c r="B66" s="423" t="s">
        <v>491</v>
      </c>
      <c r="C66" s="492">
        <f t="shared" si="18"/>
        <v>85786507</v>
      </c>
      <c r="D66" s="492">
        <v>84228674</v>
      </c>
      <c r="E66" s="499">
        <v>1557833</v>
      </c>
      <c r="F66" s="492">
        <v>0</v>
      </c>
      <c r="G66" s="492"/>
      <c r="H66" s="492">
        <f t="shared" si="19"/>
        <v>85786507</v>
      </c>
      <c r="I66" s="492">
        <f>SUM(J66:Q66)</f>
        <v>57891022</v>
      </c>
      <c r="J66" s="492">
        <v>66756</v>
      </c>
      <c r="K66" s="492">
        <v>2586</v>
      </c>
      <c r="L66" s="492"/>
      <c r="M66" s="492">
        <v>57821680</v>
      </c>
      <c r="N66" s="492"/>
      <c r="O66" s="492"/>
      <c r="P66" s="492"/>
      <c r="Q66" s="498">
        <v>0</v>
      </c>
      <c r="R66" s="496">
        <v>27895485</v>
      </c>
      <c r="S66" s="494">
        <f t="shared" si="10"/>
        <v>85717165</v>
      </c>
      <c r="T66" s="491">
        <f t="shared" si="11"/>
        <v>0.11978023120752646</v>
      </c>
      <c r="U66" s="404">
        <f t="shared" si="2"/>
        <v>0</v>
      </c>
    </row>
    <row r="67" spans="1:21" s="415" customFormat="1" ht="24" customHeight="1">
      <c r="A67" s="421" t="s">
        <v>571</v>
      </c>
      <c r="B67" s="423" t="s">
        <v>492</v>
      </c>
      <c r="C67" s="492">
        <f t="shared" si="18"/>
        <v>14559119</v>
      </c>
      <c r="D67" s="492">
        <f>20507889-9109528</f>
        <v>11398361</v>
      </c>
      <c r="E67" s="492">
        <v>3160758</v>
      </c>
      <c r="F67" s="492">
        <v>0</v>
      </c>
      <c r="G67" s="492">
        <v>9109528</v>
      </c>
      <c r="H67" s="492">
        <f t="shared" si="19"/>
        <v>14559119</v>
      </c>
      <c r="I67" s="492">
        <f>J67+K67+L67+M67+N67+O67+P67+Q67</f>
        <v>9607758</v>
      </c>
      <c r="J67" s="492">
        <f>3814400</f>
        <v>3814400</v>
      </c>
      <c r="K67" s="492">
        <v>0</v>
      </c>
      <c r="L67" s="492"/>
      <c r="M67" s="492">
        <f>5763350+57000-26992</f>
        <v>5793358</v>
      </c>
      <c r="N67" s="492"/>
      <c r="O67" s="492"/>
      <c r="P67" s="492"/>
      <c r="Q67" s="498">
        <v>0</v>
      </c>
      <c r="R67" s="496">
        <v>4951361</v>
      </c>
      <c r="S67" s="494">
        <f t="shared" si="10"/>
        <v>10744719</v>
      </c>
      <c r="T67" s="491">
        <f t="shared" si="11"/>
        <v>39.701249760870326</v>
      </c>
      <c r="U67" s="404"/>
    </row>
    <row r="68" spans="1:21" s="400" customFormat="1" ht="24" customHeight="1">
      <c r="A68" s="399">
        <v>8</v>
      </c>
      <c r="B68" s="515" t="s">
        <v>493</v>
      </c>
      <c r="C68" s="514">
        <f>SUM(C69:C71)</f>
        <v>127068854</v>
      </c>
      <c r="D68" s="514">
        <f aca="true" t="shared" si="20" ref="D68:R68">SUM(D69:D71)</f>
        <v>40111419</v>
      </c>
      <c r="E68" s="514">
        <f t="shared" si="20"/>
        <v>86957435</v>
      </c>
      <c r="F68" s="514">
        <f t="shared" si="20"/>
        <v>0</v>
      </c>
      <c r="G68" s="514">
        <f t="shared" si="20"/>
        <v>0</v>
      </c>
      <c r="H68" s="514">
        <f t="shared" si="20"/>
        <v>127068854</v>
      </c>
      <c r="I68" s="514">
        <f t="shared" si="20"/>
        <v>112148232</v>
      </c>
      <c r="J68" s="514">
        <f t="shared" si="20"/>
        <v>147362</v>
      </c>
      <c r="K68" s="514">
        <f t="shared" si="20"/>
        <v>0</v>
      </c>
      <c r="L68" s="514">
        <f t="shared" si="20"/>
        <v>0</v>
      </c>
      <c r="M68" s="514">
        <f t="shared" si="20"/>
        <v>111991160</v>
      </c>
      <c r="N68" s="514">
        <f t="shared" si="20"/>
        <v>0</v>
      </c>
      <c r="O68" s="514">
        <f t="shared" si="20"/>
        <v>9710</v>
      </c>
      <c r="P68" s="514">
        <f t="shared" si="20"/>
        <v>0</v>
      </c>
      <c r="Q68" s="514">
        <f t="shared" si="20"/>
        <v>0</v>
      </c>
      <c r="R68" s="514">
        <f t="shared" si="20"/>
        <v>14920622</v>
      </c>
      <c r="S68" s="514">
        <f t="shared" si="10"/>
        <v>126921492</v>
      </c>
      <c r="T68" s="402">
        <f t="shared" si="11"/>
        <v>0.13139930730249944</v>
      </c>
      <c r="U68" s="401">
        <f t="shared" si="2"/>
        <v>0</v>
      </c>
    </row>
    <row r="69" spans="1:21" s="415" customFormat="1" ht="24" customHeight="1">
      <c r="A69" s="421" t="s">
        <v>494</v>
      </c>
      <c r="B69" s="418" t="s">
        <v>495</v>
      </c>
      <c r="C69" s="507">
        <f>D69+E69</f>
        <v>64390670</v>
      </c>
      <c r="D69" s="507">
        <v>2877896</v>
      </c>
      <c r="E69" s="507">
        <v>61512774</v>
      </c>
      <c r="F69" s="507">
        <v>0</v>
      </c>
      <c r="G69" s="507"/>
      <c r="H69" s="507">
        <f>I69+R69</f>
        <v>64390670</v>
      </c>
      <c r="I69" s="507">
        <f>J69+K69+L69+M69+N69+O69+P69+Q69</f>
        <v>62857501</v>
      </c>
      <c r="J69" s="507">
        <v>72700</v>
      </c>
      <c r="K69" s="507">
        <v>0</v>
      </c>
      <c r="L69" s="507"/>
      <c r="M69" s="507">
        <v>62784801</v>
      </c>
      <c r="N69" s="507"/>
      <c r="O69" s="507"/>
      <c r="P69" s="507"/>
      <c r="Q69" s="507"/>
      <c r="R69" s="507">
        <v>1533169</v>
      </c>
      <c r="S69" s="494">
        <f t="shared" si="10"/>
        <v>64317970</v>
      </c>
      <c r="T69" s="491">
        <f t="shared" si="11"/>
        <v>0.11565843191888904</v>
      </c>
      <c r="U69" s="404">
        <f t="shared" si="2"/>
        <v>0</v>
      </c>
    </row>
    <row r="70" spans="1:21" s="415" customFormat="1" ht="24" customHeight="1">
      <c r="A70" s="421" t="s">
        <v>496</v>
      </c>
      <c r="B70" s="418" t="s">
        <v>497</v>
      </c>
      <c r="C70" s="507">
        <f>D70+E70</f>
        <v>29378907</v>
      </c>
      <c r="D70" s="507">
        <v>20591095</v>
      </c>
      <c r="E70" s="507">
        <v>8787812</v>
      </c>
      <c r="F70" s="507">
        <v>0</v>
      </c>
      <c r="G70" s="507">
        <v>0</v>
      </c>
      <c r="H70" s="507">
        <f>I70+R70</f>
        <v>29378907</v>
      </c>
      <c r="I70" s="507">
        <f>J70+K70+L70+M70+N70+O70+P70+Q70</f>
        <v>21541894</v>
      </c>
      <c r="J70" s="507">
        <v>37275</v>
      </c>
      <c r="K70" s="507">
        <v>0</v>
      </c>
      <c r="L70" s="507"/>
      <c r="M70" s="507">
        <v>21494909</v>
      </c>
      <c r="N70" s="507"/>
      <c r="O70" s="507">
        <v>9710</v>
      </c>
      <c r="P70" s="507"/>
      <c r="Q70" s="507"/>
      <c r="R70" s="507">
        <v>7837013</v>
      </c>
      <c r="S70" s="494">
        <f t="shared" si="10"/>
        <v>29341632</v>
      </c>
      <c r="T70" s="491">
        <f t="shared" si="11"/>
        <v>0.17303492441286733</v>
      </c>
      <c r="U70" s="404">
        <f t="shared" si="2"/>
        <v>0</v>
      </c>
    </row>
    <row r="71" spans="1:21" s="415" customFormat="1" ht="24" customHeight="1">
      <c r="A71" s="421" t="s">
        <v>552</v>
      </c>
      <c r="B71" s="418" t="s">
        <v>489</v>
      </c>
      <c r="C71" s="507">
        <f>D71+E71</f>
        <v>33299277</v>
      </c>
      <c r="D71" s="507">
        <v>16642428</v>
      </c>
      <c r="E71" s="507">
        <v>16656849</v>
      </c>
      <c r="F71" s="507">
        <v>0</v>
      </c>
      <c r="G71" s="507"/>
      <c r="H71" s="507">
        <f>I71+R71</f>
        <v>33299277</v>
      </c>
      <c r="I71" s="507">
        <f>J71+K71+L71+M71+N71+O71+P71+Q71</f>
        <v>27748837</v>
      </c>
      <c r="J71" s="507">
        <v>37387</v>
      </c>
      <c r="K71" s="507">
        <v>0</v>
      </c>
      <c r="L71" s="507"/>
      <c r="M71" s="507">
        <v>27711450</v>
      </c>
      <c r="N71" s="507"/>
      <c r="O71" s="507"/>
      <c r="P71" s="507"/>
      <c r="Q71" s="507"/>
      <c r="R71" s="507">
        <v>5550440</v>
      </c>
      <c r="S71" s="494">
        <f t="shared" si="10"/>
        <v>33261890</v>
      </c>
      <c r="T71" s="491">
        <f t="shared" si="11"/>
        <v>0.13473357459990123</v>
      </c>
      <c r="U71" s="404">
        <f t="shared" si="2"/>
        <v>0</v>
      </c>
    </row>
    <row r="72" spans="1:21" s="400" customFormat="1" ht="24" customHeight="1">
      <c r="A72" s="399">
        <v>9</v>
      </c>
      <c r="B72" s="515" t="s">
        <v>498</v>
      </c>
      <c r="C72" s="514">
        <f>SUM(C73:C75)</f>
        <v>11257746</v>
      </c>
      <c r="D72" s="514">
        <f aca="true" t="shared" si="21" ref="D72:R72">SUM(D73:D75)</f>
        <v>9962981</v>
      </c>
      <c r="E72" s="514">
        <f t="shared" si="21"/>
        <v>1294765</v>
      </c>
      <c r="F72" s="514">
        <f t="shared" si="21"/>
        <v>5000</v>
      </c>
      <c r="G72" s="514">
        <f t="shared" si="21"/>
        <v>0</v>
      </c>
      <c r="H72" s="514">
        <f t="shared" si="21"/>
        <v>11252746</v>
      </c>
      <c r="I72" s="514">
        <f t="shared" si="21"/>
        <v>9063390</v>
      </c>
      <c r="J72" s="514">
        <f t="shared" si="21"/>
        <v>22510</v>
      </c>
      <c r="K72" s="514">
        <f t="shared" si="21"/>
        <v>48825</v>
      </c>
      <c r="L72" s="514">
        <f t="shared" si="21"/>
        <v>0</v>
      </c>
      <c r="M72" s="514">
        <f t="shared" si="21"/>
        <v>8992055</v>
      </c>
      <c r="N72" s="514">
        <f t="shared" si="21"/>
        <v>0</v>
      </c>
      <c r="O72" s="514">
        <f t="shared" si="21"/>
        <v>0</v>
      </c>
      <c r="P72" s="514">
        <f t="shared" si="21"/>
        <v>0</v>
      </c>
      <c r="Q72" s="514">
        <f t="shared" si="21"/>
        <v>0</v>
      </c>
      <c r="R72" s="514">
        <f t="shared" si="21"/>
        <v>2189356</v>
      </c>
      <c r="S72" s="514">
        <f t="shared" si="10"/>
        <v>11181411</v>
      </c>
      <c r="T72" s="402">
        <f t="shared" si="11"/>
        <v>0.7870675321265002</v>
      </c>
      <c r="U72" s="401">
        <f t="shared" si="2"/>
        <v>0</v>
      </c>
    </row>
    <row r="73" spans="1:21" s="415" customFormat="1" ht="24" customHeight="1">
      <c r="A73" s="421" t="s">
        <v>499</v>
      </c>
      <c r="B73" s="420" t="s">
        <v>500</v>
      </c>
      <c r="C73" s="548">
        <f>SUM(D73:E73)</f>
        <v>2675293</v>
      </c>
      <c r="D73" s="548">
        <v>2666893</v>
      </c>
      <c r="E73" s="548">
        <f>8400</f>
        <v>8400</v>
      </c>
      <c r="F73" s="548">
        <f>5000</f>
        <v>5000</v>
      </c>
      <c r="G73" s="548">
        <v>0</v>
      </c>
      <c r="H73" s="548">
        <f>I73+R73</f>
        <v>2670293</v>
      </c>
      <c r="I73" s="548">
        <f>SUM(J73:Q73)</f>
        <v>2252805</v>
      </c>
      <c r="J73" s="548">
        <f>7050+5110</f>
        <v>12160</v>
      </c>
      <c r="K73" s="548">
        <f>27853</f>
        <v>27853</v>
      </c>
      <c r="L73" s="548">
        <v>0</v>
      </c>
      <c r="M73" s="548">
        <f>C73-J73-K73-L73-N73-O73-P73-Q73-R73-F73-G73</f>
        <v>2212792</v>
      </c>
      <c r="N73" s="548">
        <v>0</v>
      </c>
      <c r="O73" s="548">
        <v>0</v>
      </c>
      <c r="P73" s="548">
        <v>0</v>
      </c>
      <c r="Q73" s="549">
        <v>0</v>
      </c>
      <c r="R73" s="550">
        <f>438988-21500</f>
        <v>417488</v>
      </c>
      <c r="S73" s="494">
        <f t="shared" si="10"/>
        <v>2630280</v>
      </c>
      <c r="T73" s="491">
        <f t="shared" si="11"/>
        <v>1.7761412994023007</v>
      </c>
      <c r="U73" s="404">
        <f t="shared" si="2"/>
        <v>0</v>
      </c>
    </row>
    <row r="74" spans="1:21" s="415" customFormat="1" ht="24" customHeight="1">
      <c r="A74" s="421" t="s">
        <v>501</v>
      </c>
      <c r="B74" s="420" t="s">
        <v>502</v>
      </c>
      <c r="C74" s="548">
        <f>SUM(D74:E74)</f>
        <v>5362707</v>
      </c>
      <c r="D74" s="548">
        <v>4516556</v>
      </c>
      <c r="E74" s="548">
        <f>846210-59</f>
        <v>846151</v>
      </c>
      <c r="F74" s="548">
        <v>0</v>
      </c>
      <c r="G74" s="548">
        <v>0</v>
      </c>
      <c r="H74" s="548">
        <f>I74+R74</f>
        <v>5362707</v>
      </c>
      <c r="I74" s="548">
        <f>SUM(J74:Q74)</f>
        <v>4245249</v>
      </c>
      <c r="J74" s="548">
        <v>0</v>
      </c>
      <c r="K74" s="548">
        <f>10000</f>
        <v>10000</v>
      </c>
      <c r="L74" s="548">
        <v>0</v>
      </c>
      <c r="M74" s="548">
        <f>C74-J74-K74-L74-N74-O74-P74-Q74-R74-F74-G74</f>
        <v>4235249</v>
      </c>
      <c r="N74" s="548">
        <v>0</v>
      </c>
      <c r="O74" s="548">
        <v>0</v>
      </c>
      <c r="P74" s="548">
        <v>0</v>
      </c>
      <c r="Q74" s="549">
        <v>0</v>
      </c>
      <c r="R74" s="550">
        <f>390935-52717-3081+700000+37321+45000</f>
        <v>1117458</v>
      </c>
      <c r="S74" s="494">
        <f t="shared" si="10"/>
        <v>5352707</v>
      </c>
      <c r="T74" s="491">
        <f t="shared" si="11"/>
        <v>0.23555744315586674</v>
      </c>
      <c r="U74" s="404">
        <f t="shared" si="2"/>
        <v>0</v>
      </c>
    </row>
    <row r="75" spans="1:21" s="415" customFormat="1" ht="24" customHeight="1">
      <c r="A75" s="421" t="s">
        <v>503</v>
      </c>
      <c r="B75" s="420" t="s">
        <v>504</v>
      </c>
      <c r="C75" s="548">
        <f>SUM(D75:E75)</f>
        <v>3219746</v>
      </c>
      <c r="D75" s="548">
        <v>2779532</v>
      </c>
      <c r="E75" s="548">
        <f>425014+15200</f>
        <v>440214</v>
      </c>
      <c r="F75" s="548">
        <v>0</v>
      </c>
      <c r="G75" s="548">
        <v>0</v>
      </c>
      <c r="H75" s="548">
        <f>I75+R75</f>
        <v>3219746</v>
      </c>
      <c r="I75" s="548">
        <f>SUM(J75:Q75)</f>
        <v>2565336</v>
      </c>
      <c r="J75" s="548">
        <f>10350</f>
        <v>10350</v>
      </c>
      <c r="K75" s="548">
        <f>10972</f>
        <v>10972</v>
      </c>
      <c r="L75" s="548">
        <v>0</v>
      </c>
      <c r="M75" s="548">
        <f>C75-J75-K75-L75-N75-O75-P75-Q75-R75-F75-G75</f>
        <v>2544014</v>
      </c>
      <c r="N75" s="548">
        <v>0</v>
      </c>
      <c r="O75" s="548">
        <v>0</v>
      </c>
      <c r="P75" s="548">
        <v>0</v>
      </c>
      <c r="Q75" s="549">
        <v>0</v>
      </c>
      <c r="R75" s="550">
        <f>571173-29780+411-37786+57836+33070+2650+56836</f>
        <v>654410</v>
      </c>
      <c r="S75" s="494">
        <f t="shared" si="10"/>
        <v>3198424</v>
      </c>
      <c r="T75" s="491">
        <f t="shared" si="11"/>
        <v>0.831158179669252</v>
      </c>
      <c r="U75" s="404">
        <f t="shared" si="2"/>
        <v>0</v>
      </c>
    </row>
    <row r="76" spans="1:21" s="400" customFormat="1" ht="24" customHeight="1">
      <c r="A76" s="399">
        <v>10</v>
      </c>
      <c r="B76" s="515" t="s">
        <v>505</v>
      </c>
      <c r="C76" s="514">
        <f>SUM(C77:C85)</f>
        <v>393731330</v>
      </c>
      <c r="D76" s="514">
        <f aca="true" t="shared" si="22" ref="D76:R76">SUM(D77:D85)</f>
        <v>382562132</v>
      </c>
      <c r="E76" s="514">
        <f t="shared" si="22"/>
        <v>11169198</v>
      </c>
      <c r="F76" s="514">
        <f t="shared" si="22"/>
        <v>808844</v>
      </c>
      <c r="G76" s="514">
        <f t="shared" si="22"/>
        <v>0</v>
      </c>
      <c r="H76" s="514">
        <f t="shared" si="22"/>
        <v>392922486</v>
      </c>
      <c r="I76" s="514">
        <f t="shared" si="22"/>
        <v>123840828</v>
      </c>
      <c r="J76" s="514">
        <f t="shared" si="22"/>
        <v>2115399</v>
      </c>
      <c r="K76" s="514">
        <f t="shared" si="22"/>
        <v>1421152</v>
      </c>
      <c r="L76" s="514">
        <f t="shared" si="22"/>
        <v>0</v>
      </c>
      <c r="M76" s="514">
        <f t="shared" si="22"/>
        <v>119252568</v>
      </c>
      <c r="N76" s="514">
        <f t="shared" si="22"/>
        <v>249239</v>
      </c>
      <c r="O76" s="514">
        <f t="shared" si="22"/>
        <v>0</v>
      </c>
      <c r="P76" s="514">
        <f t="shared" si="22"/>
        <v>0</v>
      </c>
      <c r="Q76" s="514">
        <f t="shared" si="22"/>
        <v>802470</v>
      </c>
      <c r="R76" s="514">
        <f t="shared" si="22"/>
        <v>269081658</v>
      </c>
      <c r="S76" s="514">
        <f t="shared" si="10"/>
        <v>389385935</v>
      </c>
      <c r="T76" s="402">
        <f t="shared" si="11"/>
        <v>2.8557229930665518</v>
      </c>
      <c r="U76" s="401">
        <f aca="true" t="shared" si="23" ref="U76:U111">C76-F76-H76</f>
        <v>0</v>
      </c>
    </row>
    <row r="77" spans="1:21" s="415" customFormat="1" ht="24" customHeight="1">
      <c r="A77" s="421" t="s">
        <v>532</v>
      </c>
      <c r="B77" s="424" t="s">
        <v>472</v>
      </c>
      <c r="C77" s="493">
        <v>2598720</v>
      </c>
      <c r="D77" s="493">
        <v>55001</v>
      </c>
      <c r="E77" s="493">
        <v>2543719</v>
      </c>
      <c r="F77" s="493">
        <v>0</v>
      </c>
      <c r="G77" s="493">
        <v>0</v>
      </c>
      <c r="H77" s="493">
        <v>2598720</v>
      </c>
      <c r="I77" s="493">
        <v>2598720</v>
      </c>
      <c r="J77" s="493">
        <v>1655800</v>
      </c>
      <c r="K77" s="493">
        <v>0</v>
      </c>
      <c r="L77" s="493">
        <v>0</v>
      </c>
      <c r="M77" s="493">
        <v>942920</v>
      </c>
      <c r="N77" s="493">
        <v>0</v>
      </c>
      <c r="O77" s="493">
        <v>0</v>
      </c>
      <c r="P77" s="493">
        <v>0</v>
      </c>
      <c r="Q77" s="493">
        <v>0</v>
      </c>
      <c r="R77" s="493">
        <v>0</v>
      </c>
      <c r="S77" s="494">
        <f t="shared" si="10"/>
        <v>942920</v>
      </c>
      <c r="T77" s="491">
        <f t="shared" si="11"/>
        <v>63.71598325329393</v>
      </c>
      <c r="U77" s="404">
        <f t="shared" si="23"/>
        <v>0</v>
      </c>
    </row>
    <row r="78" spans="1:21" s="415" customFormat="1" ht="24" customHeight="1">
      <c r="A78" s="421" t="s">
        <v>581</v>
      </c>
      <c r="B78" s="424" t="s">
        <v>584</v>
      </c>
      <c r="C78" s="493">
        <v>165316969</v>
      </c>
      <c r="D78" s="493">
        <v>158358464</v>
      </c>
      <c r="E78" s="493">
        <v>6958505</v>
      </c>
      <c r="F78" s="493">
        <v>0</v>
      </c>
      <c r="G78" s="493">
        <v>0</v>
      </c>
      <c r="H78" s="493">
        <v>165316969</v>
      </c>
      <c r="I78" s="493">
        <v>15429896</v>
      </c>
      <c r="J78" s="493">
        <v>233794</v>
      </c>
      <c r="K78" s="493">
        <v>38065</v>
      </c>
      <c r="L78" s="493">
        <v>0</v>
      </c>
      <c r="M78" s="493">
        <v>15056351</v>
      </c>
      <c r="N78" s="493">
        <v>101686</v>
      </c>
      <c r="O78" s="493">
        <v>0</v>
      </c>
      <c r="P78" s="493">
        <v>0</v>
      </c>
      <c r="Q78" s="493">
        <v>0</v>
      </c>
      <c r="R78" s="493">
        <v>149887073</v>
      </c>
      <c r="S78" s="494">
        <f t="shared" si="10"/>
        <v>165045110</v>
      </c>
      <c r="T78" s="491">
        <f t="shared" si="11"/>
        <v>1.76189781188415</v>
      </c>
      <c r="U78" s="404">
        <f t="shared" si="23"/>
        <v>0</v>
      </c>
    </row>
    <row r="79" spans="1:21" s="415" customFormat="1" ht="24" customHeight="1">
      <c r="A79" s="421" t="s">
        <v>533</v>
      </c>
      <c r="B79" s="424" t="s">
        <v>506</v>
      </c>
      <c r="C79" s="493">
        <v>10932112</v>
      </c>
      <c r="D79" s="493">
        <v>10862652</v>
      </c>
      <c r="E79" s="493">
        <v>69460</v>
      </c>
      <c r="F79" s="493">
        <v>0</v>
      </c>
      <c r="G79" s="493">
        <v>0</v>
      </c>
      <c r="H79" s="493">
        <v>10932112</v>
      </c>
      <c r="I79" s="493">
        <v>8264029</v>
      </c>
      <c r="J79" s="493">
        <v>13952</v>
      </c>
      <c r="K79" s="493">
        <v>664987</v>
      </c>
      <c r="L79" s="493">
        <v>0</v>
      </c>
      <c r="M79" s="493">
        <v>7585090</v>
      </c>
      <c r="N79" s="493">
        <v>0</v>
      </c>
      <c r="O79" s="493">
        <v>0</v>
      </c>
      <c r="P79" s="493">
        <v>0</v>
      </c>
      <c r="Q79" s="493">
        <v>0</v>
      </c>
      <c r="R79" s="493">
        <v>2668083</v>
      </c>
      <c r="S79" s="494">
        <f t="shared" si="10"/>
        <v>10253173</v>
      </c>
      <c r="T79" s="491">
        <f t="shared" si="11"/>
        <v>8.215593144699758</v>
      </c>
      <c r="U79" s="404">
        <f t="shared" si="23"/>
        <v>0</v>
      </c>
    </row>
    <row r="80" spans="1:21" s="415" customFormat="1" ht="24" customHeight="1">
      <c r="A80" s="421" t="s">
        <v>534</v>
      </c>
      <c r="B80" s="424" t="s">
        <v>554</v>
      </c>
      <c r="C80" s="493">
        <v>7797340</v>
      </c>
      <c r="D80" s="493">
        <v>7663235</v>
      </c>
      <c r="E80" s="493">
        <v>134105</v>
      </c>
      <c r="F80" s="493">
        <v>0</v>
      </c>
      <c r="G80" s="493">
        <v>0</v>
      </c>
      <c r="H80" s="493">
        <v>7797340</v>
      </c>
      <c r="I80" s="493">
        <v>5923592</v>
      </c>
      <c r="J80" s="493">
        <v>16479</v>
      </c>
      <c r="K80" s="493">
        <v>18100</v>
      </c>
      <c r="L80" s="493">
        <v>0</v>
      </c>
      <c r="M80" s="493">
        <v>5086543</v>
      </c>
      <c r="N80" s="493">
        <v>0</v>
      </c>
      <c r="O80" s="493">
        <v>0</v>
      </c>
      <c r="P80" s="493">
        <v>0</v>
      </c>
      <c r="Q80" s="493">
        <v>802470</v>
      </c>
      <c r="R80" s="493">
        <v>1873748</v>
      </c>
      <c r="S80" s="494">
        <f t="shared" si="10"/>
        <v>7762761</v>
      </c>
      <c r="T80" s="491">
        <f t="shared" si="11"/>
        <v>0.5837505351482681</v>
      </c>
      <c r="U80" s="404">
        <f t="shared" si="23"/>
        <v>0</v>
      </c>
    </row>
    <row r="81" spans="1:21" s="415" customFormat="1" ht="24" customHeight="1">
      <c r="A81" s="421" t="s">
        <v>535</v>
      </c>
      <c r="B81" s="424" t="s">
        <v>507</v>
      </c>
      <c r="C81" s="493">
        <v>36957477</v>
      </c>
      <c r="D81" s="493">
        <v>36792039</v>
      </c>
      <c r="E81" s="493">
        <v>165438</v>
      </c>
      <c r="F81" s="493">
        <v>808844</v>
      </c>
      <c r="G81" s="493">
        <v>0</v>
      </c>
      <c r="H81" s="493">
        <v>36148633</v>
      </c>
      <c r="I81" s="493">
        <v>35349569</v>
      </c>
      <c r="J81" s="493">
        <v>18100</v>
      </c>
      <c r="K81" s="493">
        <v>0</v>
      </c>
      <c r="L81" s="493">
        <v>0</v>
      </c>
      <c r="M81" s="493">
        <v>35331469</v>
      </c>
      <c r="N81" s="493">
        <v>0</v>
      </c>
      <c r="O81" s="493">
        <v>0</v>
      </c>
      <c r="P81" s="493">
        <v>0</v>
      </c>
      <c r="Q81" s="493">
        <v>0</v>
      </c>
      <c r="R81" s="493">
        <v>799064</v>
      </c>
      <c r="S81" s="494">
        <f t="shared" si="10"/>
        <v>36130533</v>
      </c>
      <c r="T81" s="491">
        <f t="shared" si="11"/>
        <v>0.051202887367594214</v>
      </c>
      <c r="U81" s="404">
        <f t="shared" si="23"/>
        <v>0</v>
      </c>
    </row>
    <row r="82" spans="1:21" s="415" customFormat="1" ht="24" customHeight="1">
      <c r="A82" s="421" t="s">
        <v>536</v>
      </c>
      <c r="B82" s="424" t="s">
        <v>509</v>
      </c>
      <c r="C82" s="493">
        <v>76381762</v>
      </c>
      <c r="D82" s="493">
        <v>75578191</v>
      </c>
      <c r="E82" s="493">
        <v>803571</v>
      </c>
      <c r="F82" s="493">
        <v>0</v>
      </c>
      <c r="G82" s="493">
        <v>0</v>
      </c>
      <c r="H82" s="493">
        <v>76381762</v>
      </c>
      <c r="I82" s="493">
        <v>6084594</v>
      </c>
      <c r="J82" s="493">
        <v>54166</v>
      </c>
      <c r="K82" s="493">
        <v>700000</v>
      </c>
      <c r="L82" s="493">
        <v>0</v>
      </c>
      <c r="M82" s="493">
        <v>5330428</v>
      </c>
      <c r="N82" s="493">
        <v>0</v>
      </c>
      <c r="O82" s="493">
        <v>0</v>
      </c>
      <c r="P82" s="493">
        <v>0</v>
      </c>
      <c r="Q82" s="493">
        <v>0</v>
      </c>
      <c r="R82" s="493">
        <v>70297168</v>
      </c>
      <c r="S82" s="494">
        <f t="shared" si="10"/>
        <v>75627596</v>
      </c>
      <c r="T82" s="491">
        <f t="shared" si="11"/>
        <v>12.394680729724941</v>
      </c>
      <c r="U82" s="404">
        <f t="shared" si="23"/>
        <v>0</v>
      </c>
    </row>
    <row r="83" spans="1:21" s="415" customFormat="1" ht="24" customHeight="1">
      <c r="A83" s="421" t="s">
        <v>508</v>
      </c>
      <c r="B83" s="425" t="s">
        <v>555</v>
      </c>
      <c r="C83" s="510">
        <v>28768735</v>
      </c>
      <c r="D83" s="510">
        <v>28521499</v>
      </c>
      <c r="E83" s="510">
        <v>247236</v>
      </c>
      <c r="F83" s="510">
        <v>0</v>
      </c>
      <c r="G83" s="510">
        <v>0</v>
      </c>
      <c r="H83" s="510">
        <v>28768735</v>
      </c>
      <c r="I83" s="510">
        <v>11577823</v>
      </c>
      <c r="J83" s="510">
        <v>70577</v>
      </c>
      <c r="K83" s="510">
        <v>0</v>
      </c>
      <c r="L83" s="510">
        <v>0</v>
      </c>
      <c r="M83" s="510">
        <v>11359693</v>
      </c>
      <c r="N83" s="510">
        <v>147553</v>
      </c>
      <c r="O83" s="510">
        <v>0</v>
      </c>
      <c r="P83" s="510">
        <v>0</v>
      </c>
      <c r="Q83" s="510">
        <v>0</v>
      </c>
      <c r="R83" s="510">
        <v>17190912</v>
      </c>
      <c r="S83" s="494">
        <f t="shared" si="10"/>
        <v>28698158</v>
      </c>
      <c r="T83" s="491">
        <f t="shared" si="11"/>
        <v>0.6095878301127942</v>
      </c>
      <c r="U83" s="404">
        <f t="shared" si="23"/>
        <v>0</v>
      </c>
    </row>
    <row r="84" spans="1:21" s="415" customFormat="1" ht="24" customHeight="1">
      <c r="A84" s="421" t="s">
        <v>510</v>
      </c>
      <c r="B84" s="424" t="s">
        <v>556</v>
      </c>
      <c r="C84" s="493">
        <v>55992117</v>
      </c>
      <c r="D84" s="493">
        <v>55885926</v>
      </c>
      <c r="E84" s="493">
        <v>106191</v>
      </c>
      <c r="F84" s="493">
        <v>0</v>
      </c>
      <c r="G84" s="493">
        <v>0</v>
      </c>
      <c r="H84" s="493">
        <v>55992117</v>
      </c>
      <c r="I84" s="493">
        <v>32359811</v>
      </c>
      <c r="J84" s="493">
        <v>45906</v>
      </c>
      <c r="K84" s="493">
        <v>0</v>
      </c>
      <c r="L84" s="493">
        <v>0</v>
      </c>
      <c r="M84" s="493">
        <v>32313905</v>
      </c>
      <c r="N84" s="493">
        <v>0</v>
      </c>
      <c r="O84" s="493">
        <v>0</v>
      </c>
      <c r="P84" s="493">
        <v>0</v>
      </c>
      <c r="Q84" s="493">
        <v>0</v>
      </c>
      <c r="R84" s="493">
        <v>23632306</v>
      </c>
      <c r="S84" s="494">
        <f t="shared" si="10"/>
        <v>55946211</v>
      </c>
      <c r="T84" s="491">
        <f t="shared" si="11"/>
        <v>0.14186114993069646</v>
      </c>
      <c r="U84" s="404">
        <f t="shared" si="23"/>
        <v>0</v>
      </c>
    </row>
    <row r="85" spans="1:21" s="415" customFormat="1" ht="24" customHeight="1">
      <c r="A85" s="421" t="s">
        <v>511</v>
      </c>
      <c r="B85" s="424" t="s">
        <v>512</v>
      </c>
      <c r="C85" s="493">
        <v>8986098</v>
      </c>
      <c r="D85" s="493">
        <v>8845125</v>
      </c>
      <c r="E85" s="493">
        <v>140973</v>
      </c>
      <c r="F85" s="493">
        <v>0</v>
      </c>
      <c r="G85" s="493">
        <v>0</v>
      </c>
      <c r="H85" s="493">
        <v>8986098</v>
      </c>
      <c r="I85" s="493">
        <v>6252794</v>
      </c>
      <c r="J85" s="493">
        <v>6625</v>
      </c>
      <c r="K85" s="493">
        <v>0</v>
      </c>
      <c r="L85" s="493">
        <v>0</v>
      </c>
      <c r="M85" s="493">
        <v>6246169</v>
      </c>
      <c r="N85" s="493">
        <v>0</v>
      </c>
      <c r="O85" s="493">
        <v>0</v>
      </c>
      <c r="P85" s="493">
        <v>0</v>
      </c>
      <c r="Q85" s="493">
        <v>0</v>
      </c>
      <c r="R85" s="493">
        <v>2733304</v>
      </c>
      <c r="S85" s="494">
        <f t="shared" si="10"/>
        <v>8979473</v>
      </c>
      <c r="T85" s="491">
        <f t="shared" si="11"/>
        <v>0.10595263493407908</v>
      </c>
      <c r="U85" s="404">
        <f t="shared" si="23"/>
        <v>0</v>
      </c>
    </row>
    <row r="86" spans="1:21" s="400" customFormat="1" ht="24" customHeight="1">
      <c r="A86" s="399">
        <v>11</v>
      </c>
      <c r="B86" s="515" t="s">
        <v>513</v>
      </c>
      <c r="C86" s="514">
        <f>SUM(C87:C88)</f>
        <v>9828296</v>
      </c>
      <c r="D86" s="514">
        <f aca="true" t="shared" si="24" ref="D86:R86">SUM(D87:D88)</f>
        <v>9423123</v>
      </c>
      <c r="E86" s="514">
        <f t="shared" si="24"/>
        <v>405173</v>
      </c>
      <c r="F86" s="514">
        <f t="shared" si="24"/>
        <v>0</v>
      </c>
      <c r="G86" s="514">
        <f t="shared" si="24"/>
        <v>0</v>
      </c>
      <c r="H86" s="514">
        <f t="shared" si="24"/>
        <v>9828296</v>
      </c>
      <c r="I86" s="514">
        <f t="shared" si="24"/>
        <v>4685231</v>
      </c>
      <c r="J86" s="514">
        <f t="shared" si="24"/>
        <v>36800</v>
      </c>
      <c r="K86" s="514">
        <f t="shared" si="24"/>
        <v>0</v>
      </c>
      <c r="L86" s="514">
        <f t="shared" si="24"/>
        <v>0</v>
      </c>
      <c r="M86" s="514">
        <f t="shared" si="24"/>
        <v>4409357</v>
      </c>
      <c r="N86" s="514">
        <f t="shared" si="24"/>
        <v>0</v>
      </c>
      <c r="O86" s="514">
        <f t="shared" si="24"/>
        <v>0</v>
      </c>
      <c r="P86" s="514">
        <f t="shared" si="24"/>
        <v>0</v>
      </c>
      <c r="Q86" s="514">
        <f t="shared" si="24"/>
        <v>239074</v>
      </c>
      <c r="R86" s="514">
        <f t="shared" si="24"/>
        <v>5143065</v>
      </c>
      <c r="S86" s="514">
        <f t="shared" si="10"/>
        <v>9791496</v>
      </c>
      <c r="T86" s="402">
        <f t="shared" si="11"/>
        <v>0.7854468648397485</v>
      </c>
      <c r="U86" s="401">
        <f t="shared" si="23"/>
        <v>0</v>
      </c>
    </row>
    <row r="87" spans="1:21" s="415" customFormat="1" ht="24" customHeight="1">
      <c r="A87" s="421" t="s">
        <v>514</v>
      </c>
      <c r="B87" s="418" t="s">
        <v>515</v>
      </c>
      <c r="C87" s="508">
        <f>D87+E87</f>
        <v>6136384</v>
      </c>
      <c r="D87" s="508">
        <v>5762011</v>
      </c>
      <c r="E87" s="508">
        <v>374373</v>
      </c>
      <c r="F87" s="508">
        <v>0</v>
      </c>
      <c r="G87" s="508">
        <v>0</v>
      </c>
      <c r="H87" s="508">
        <f>I87+R87</f>
        <v>6136384</v>
      </c>
      <c r="I87" s="508">
        <f>J87+K87+L87+M87+N87+O87+P87+Q87</f>
        <v>2107470</v>
      </c>
      <c r="J87" s="508">
        <v>6600</v>
      </c>
      <c r="K87" s="508">
        <v>0</v>
      </c>
      <c r="L87" s="508">
        <v>0</v>
      </c>
      <c r="M87" s="508">
        <v>1916396</v>
      </c>
      <c r="N87" s="508">
        <v>0</v>
      </c>
      <c r="O87" s="508">
        <v>0</v>
      </c>
      <c r="P87" s="508">
        <v>0</v>
      </c>
      <c r="Q87" s="509">
        <v>184474</v>
      </c>
      <c r="R87" s="508">
        <v>4028914</v>
      </c>
      <c r="S87" s="494">
        <f t="shared" si="10"/>
        <v>6129784</v>
      </c>
      <c r="T87" s="491">
        <f t="shared" si="11"/>
        <v>0.31317171774687186</v>
      </c>
      <c r="U87" s="404">
        <f t="shared" si="23"/>
        <v>0</v>
      </c>
    </row>
    <row r="88" spans="1:21" s="415" customFormat="1" ht="24" customHeight="1">
      <c r="A88" s="421" t="s">
        <v>516</v>
      </c>
      <c r="B88" s="418" t="s">
        <v>517</v>
      </c>
      <c r="C88" s="508">
        <f>D88+E88</f>
        <v>3691912</v>
      </c>
      <c r="D88" s="508">
        <v>3661112</v>
      </c>
      <c r="E88" s="508">
        <v>30800</v>
      </c>
      <c r="F88" s="508">
        <v>0</v>
      </c>
      <c r="G88" s="508">
        <v>0</v>
      </c>
      <c r="H88" s="508">
        <f>I88+R88</f>
        <v>3691912</v>
      </c>
      <c r="I88" s="508">
        <f>J88+K88+L88+M88+N88+O88+P88+Q88</f>
        <v>2577761</v>
      </c>
      <c r="J88" s="508">
        <v>30200</v>
      </c>
      <c r="K88" s="508">
        <v>0</v>
      </c>
      <c r="L88" s="508">
        <v>0</v>
      </c>
      <c r="M88" s="508">
        <v>2492961</v>
      </c>
      <c r="N88" s="508">
        <v>0</v>
      </c>
      <c r="O88" s="508">
        <v>0</v>
      </c>
      <c r="P88" s="508">
        <v>0</v>
      </c>
      <c r="Q88" s="509">
        <v>54600</v>
      </c>
      <c r="R88" s="508">
        <v>1114151</v>
      </c>
      <c r="S88" s="494">
        <f t="shared" si="10"/>
        <v>3661712</v>
      </c>
      <c r="T88" s="491">
        <f t="shared" si="11"/>
        <v>1.1715593493733516</v>
      </c>
      <c r="U88" s="404">
        <f t="shared" si="23"/>
        <v>0</v>
      </c>
    </row>
    <row r="89" spans="1:21" s="400" customFormat="1" ht="24" customHeight="1">
      <c r="A89" s="399">
        <v>12</v>
      </c>
      <c r="B89" s="515" t="s">
        <v>519</v>
      </c>
      <c r="C89" s="514">
        <f>SUM(C90:C92)</f>
        <v>20439479</v>
      </c>
      <c r="D89" s="514">
        <f aca="true" t="shared" si="25" ref="D89:R89">SUM(D90:D92)</f>
        <v>19340047</v>
      </c>
      <c r="E89" s="514">
        <f t="shared" si="25"/>
        <v>1099432</v>
      </c>
      <c r="F89" s="514">
        <f t="shared" si="25"/>
        <v>0</v>
      </c>
      <c r="G89" s="514">
        <f t="shared" si="25"/>
        <v>0</v>
      </c>
      <c r="H89" s="514">
        <f t="shared" si="25"/>
        <v>20439479</v>
      </c>
      <c r="I89" s="514">
        <f t="shared" si="25"/>
        <v>17908197</v>
      </c>
      <c r="J89" s="514">
        <f t="shared" si="25"/>
        <v>239088</v>
      </c>
      <c r="K89" s="514">
        <f t="shared" si="25"/>
        <v>29521</v>
      </c>
      <c r="L89" s="514">
        <f t="shared" si="25"/>
        <v>0</v>
      </c>
      <c r="M89" s="514">
        <f t="shared" si="25"/>
        <v>17639588</v>
      </c>
      <c r="N89" s="514">
        <f t="shared" si="25"/>
        <v>0</v>
      </c>
      <c r="O89" s="514">
        <f t="shared" si="25"/>
        <v>0</v>
      </c>
      <c r="P89" s="514">
        <f t="shared" si="25"/>
        <v>0</v>
      </c>
      <c r="Q89" s="514">
        <f t="shared" si="25"/>
        <v>0</v>
      </c>
      <c r="R89" s="514">
        <f t="shared" si="25"/>
        <v>2531282</v>
      </c>
      <c r="S89" s="514">
        <f t="shared" si="10"/>
        <v>20170870</v>
      </c>
      <c r="T89" s="402">
        <f t="shared" si="11"/>
        <v>1.4999220747906672</v>
      </c>
      <c r="U89" s="401">
        <f t="shared" si="23"/>
        <v>0</v>
      </c>
    </row>
    <row r="90" spans="1:21" s="415" customFormat="1" ht="24" customHeight="1">
      <c r="A90" s="414">
        <v>12.1</v>
      </c>
      <c r="B90" s="426" t="s">
        <v>542</v>
      </c>
      <c r="C90" s="507">
        <f>D90+E90</f>
        <v>5286693</v>
      </c>
      <c r="D90" s="507">
        <v>5158463</v>
      </c>
      <c r="E90" s="507">
        <v>128230</v>
      </c>
      <c r="F90" s="507">
        <v>0</v>
      </c>
      <c r="G90" s="507">
        <v>0</v>
      </c>
      <c r="H90" s="507">
        <f>C90-F90-G90</f>
        <v>5286693</v>
      </c>
      <c r="I90" s="507">
        <f>H90-R90</f>
        <v>5135098</v>
      </c>
      <c r="J90" s="507">
        <v>53944</v>
      </c>
      <c r="K90" s="507">
        <v>0</v>
      </c>
      <c r="L90" s="507"/>
      <c r="M90" s="507">
        <f>I90-J90-K90-N90</f>
        <v>5081154</v>
      </c>
      <c r="N90" s="507"/>
      <c r="O90" s="507"/>
      <c r="P90" s="507"/>
      <c r="Q90" s="507"/>
      <c r="R90" s="507">
        <v>151595</v>
      </c>
      <c r="S90" s="494">
        <f t="shared" si="10"/>
        <v>5232749</v>
      </c>
      <c r="T90" s="491">
        <f t="shared" si="11"/>
        <v>1.0504960177975182</v>
      </c>
      <c r="U90" s="404">
        <f t="shared" si="23"/>
        <v>0</v>
      </c>
    </row>
    <row r="91" spans="1:21" s="415" customFormat="1" ht="24" customHeight="1">
      <c r="A91" s="414">
        <v>12.2</v>
      </c>
      <c r="B91" s="426" t="s">
        <v>582</v>
      </c>
      <c r="C91" s="507">
        <f>D91+E91</f>
        <v>12359163</v>
      </c>
      <c r="D91" s="507">
        <v>11428552</v>
      </c>
      <c r="E91" s="507">
        <v>930611</v>
      </c>
      <c r="F91" s="507">
        <v>0</v>
      </c>
      <c r="G91" s="507">
        <v>0</v>
      </c>
      <c r="H91" s="507">
        <f>C91-F91-G91</f>
        <v>12359163</v>
      </c>
      <c r="I91" s="507">
        <f>H91-R91</f>
        <v>10388425</v>
      </c>
      <c r="J91" s="507">
        <v>50475</v>
      </c>
      <c r="K91" s="507">
        <v>12586</v>
      </c>
      <c r="L91" s="507"/>
      <c r="M91" s="507">
        <f>I91-J91-K91-N91</f>
        <v>10325364</v>
      </c>
      <c r="N91" s="507">
        <v>0</v>
      </c>
      <c r="O91" s="507"/>
      <c r="P91" s="507"/>
      <c r="Q91" s="507"/>
      <c r="R91" s="507">
        <v>1970738</v>
      </c>
      <c r="S91" s="494">
        <f t="shared" si="10"/>
        <v>12296102</v>
      </c>
      <c r="T91" s="491">
        <f t="shared" si="11"/>
        <v>0.6070313834869098</v>
      </c>
      <c r="U91" s="404">
        <f t="shared" si="23"/>
        <v>0</v>
      </c>
    </row>
    <row r="92" spans="1:21" s="415" customFormat="1" ht="24" customHeight="1">
      <c r="A92" s="414">
        <v>12.3</v>
      </c>
      <c r="B92" s="426" t="s">
        <v>557</v>
      </c>
      <c r="C92" s="507">
        <f>D92+E92</f>
        <v>2793623</v>
      </c>
      <c r="D92" s="507">
        <v>2753032</v>
      </c>
      <c r="E92" s="507">
        <v>40591</v>
      </c>
      <c r="F92" s="507"/>
      <c r="G92" s="507"/>
      <c r="H92" s="507">
        <f>C92-F92-G92</f>
        <v>2793623</v>
      </c>
      <c r="I92" s="507">
        <f>H92-R92</f>
        <v>2384674</v>
      </c>
      <c r="J92" s="507">
        <v>134669</v>
      </c>
      <c r="K92" s="507">
        <v>16935</v>
      </c>
      <c r="L92" s="507"/>
      <c r="M92" s="507">
        <f>I92-J92-K92-N92</f>
        <v>2233070</v>
      </c>
      <c r="N92" s="507"/>
      <c r="O92" s="507"/>
      <c r="P92" s="507"/>
      <c r="Q92" s="507"/>
      <c r="R92" s="507">
        <v>408949</v>
      </c>
      <c r="S92" s="494">
        <f t="shared" si="10"/>
        <v>2642019</v>
      </c>
      <c r="T92" s="491">
        <f t="shared" si="11"/>
        <v>6.357430827022897</v>
      </c>
      <c r="U92" s="404">
        <f t="shared" si="23"/>
        <v>0</v>
      </c>
    </row>
    <row r="93" spans="1:21" s="400" customFormat="1" ht="24" customHeight="1">
      <c r="A93" s="399">
        <v>13</v>
      </c>
      <c r="B93" s="515" t="s">
        <v>521</v>
      </c>
      <c r="C93" s="514">
        <f>SUM(C94:C103)</f>
        <v>543752204</v>
      </c>
      <c r="D93" s="514">
        <f aca="true" t="shared" si="26" ref="D93:R93">SUM(D94:D103)</f>
        <v>490843881</v>
      </c>
      <c r="E93" s="514">
        <f t="shared" si="26"/>
        <v>52908323</v>
      </c>
      <c r="F93" s="514">
        <f t="shared" si="26"/>
        <v>375637</v>
      </c>
      <c r="G93" s="514">
        <f t="shared" si="26"/>
        <v>0</v>
      </c>
      <c r="H93" s="514">
        <f t="shared" si="26"/>
        <v>543376567</v>
      </c>
      <c r="I93" s="514">
        <f t="shared" si="26"/>
        <v>395712474</v>
      </c>
      <c r="J93" s="514">
        <f t="shared" si="26"/>
        <v>14270596</v>
      </c>
      <c r="K93" s="514">
        <f t="shared" si="26"/>
        <v>2271970</v>
      </c>
      <c r="L93" s="514">
        <f t="shared" si="26"/>
        <v>0</v>
      </c>
      <c r="M93" s="514">
        <f t="shared" si="26"/>
        <v>379169908</v>
      </c>
      <c r="N93" s="514">
        <f t="shared" si="26"/>
        <v>0</v>
      </c>
      <c r="O93" s="514">
        <f t="shared" si="26"/>
        <v>0</v>
      </c>
      <c r="P93" s="514">
        <f t="shared" si="26"/>
        <v>0</v>
      </c>
      <c r="Q93" s="514">
        <f t="shared" si="26"/>
        <v>0</v>
      </c>
      <c r="R93" s="514">
        <f t="shared" si="26"/>
        <v>147664093</v>
      </c>
      <c r="S93" s="514">
        <f t="shared" si="10"/>
        <v>526834001</v>
      </c>
      <c r="T93" s="402">
        <f t="shared" si="11"/>
        <v>4.180450980678461</v>
      </c>
      <c r="U93" s="401">
        <f t="shared" si="23"/>
        <v>0</v>
      </c>
    </row>
    <row r="94" spans="1:21" s="415" customFormat="1" ht="24" customHeight="1">
      <c r="A94" s="414">
        <v>13.1</v>
      </c>
      <c r="B94" s="427" t="s">
        <v>587</v>
      </c>
      <c r="C94" s="499">
        <f>D94+E94</f>
        <v>73074479</v>
      </c>
      <c r="D94" s="499">
        <v>70063853</v>
      </c>
      <c r="E94" s="499">
        <v>3010626</v>
      </c>
      <c r="F94" s="499">
        <v>0</v>
      </c>
      <c r="G94" s="499">
        <v>0</v>
      </c>
      <c r="H94" s="499">
        <f>I94+R94</f>
        <v>73074479</v>
      </c>
      <c r="I94" s="499">
        <f>J94+K94+L94+M94+N94+O94+P94+Q94</f>
        <v>18981393</v>
      </c>
      <c r="J94" s="499">
        <v>561600</v>
      </c>
      <c r="K94" s="499">
        <v>3000</v>
      </c>
      <c r="L94" s="499">
        <v>0</v>
      </c>
      <c r="M94" s="499">
        <v>18416793</v>
      </c>
      <c r="N94" s="499">
        <v>0</v>
      </c>
      <c r="O94" s="499">
        <v>0</v>
      </c>
      <c r="P94" s="499">
        <v>0</v>
      </c>
      <c r="Q94" s="499">
        <v>0</v>
      </c>
      <c r="R94" s="500">
        <v>54093086</v>
      </c>
      <c r="S94" s="494">
        <f t="shared" si="10"/>
        <v>72509879</v>
      </c>
      <c r="T94" s="491">
        <f t="shared" si="11"/>
        <v>2.974491914265723</v>
      </c>
      <c r="U94" s="404">
        <f t="shared" si="23"/>
        <v>0</v>
      </c>
    </row>
    <row r="95" spans="1:21" s="415" customFormat="1" ht="24" customHeight="1">
      <c r="A95" s="414">
        <v>13.2</v>
      </c>
      <c r="B95" s="427" t="s">
        <v>522</v>
      </c>
      <c r="C95" s="499">
        <f aca="true" t="shared" si="27" ref="C95:C103">D95+E95</f>
        <v>69754277</v>
      </c>
      <c r="D95" s="499">
        <v>45795974</v>
      </c>
      <c r="E95" s="499">
        <v>23958303</v>
      </c>
      <c r="F95" s="499">
        <v>375637</v>
      </c>
      <c r="G95" s="499">
        <v>0</v>
      </c>
      <c r="H95" s="499">
        <f aca="true" t="shared" si="28" ref="H95:H103">I95+R95</f>
        <v>69378640</v>
      </c>
      <c r="I95" s="499">
        <f aca="true" t="shared" si="29" ref="I95:I103">J95+K95+L95+M95+N95+O95+P95+Q95</f>
        <v>60820799</v>
      </c>
      <c r="J95" s="499">
        <v>68778</v>
      </c>
      <c r="K95" s="499"/>
      <c r="L95" s="499">
        <v>0</v>
      </c>
      <c r="M95" s="499">
        <v>60752021</v>
      </c>
      <c r="N95" s="499">
        <v>0</v>
      </c>
      <c r="O95" s="499">
        <v>0</v>
      </c>
      <c r="P95" s="499">
        <v>0</v>
      </c>
      <c r="Q95" s="499">
        <v>0</v>
      </c>
      <c r="R95" s="500">
        <v>8557841</v>
      </c>
      <c r="S95" s="494">
        <f t="shared" si="10"/>
        <v>69309862</v>
      </c>
      <c r="T95" s="491">
        <f t="shared" si="11"/>
        <v>0.11308302608783552</v>
      </c>
      <c r="U95" s="404">
        <f t="shared" si="23"/>
        <v>0</v>
      </c>
    </row>
    <row r="96" spans="1:21" s="415" customFormat="1" ht="24" customHeight="1">
      <c r="A96" s="414">
        <v>13.3</v>
      </c>
      <c r="B96" s="427" t="s">
        <v>558</v>
      </c>
      <c r="C96" s="499">
        <f t="shared" si="27"/>
        <v>122973638</v>
      </c>
      <c r="D96" s="499">
        <v>112976050</v>
      </c>
      <c r="E96" s="499">
        <v>9997588</v>
      </c>
      <c r="F96" s="499"/>
      <c r="G96" s="499">
        <v>0</v>
      </c>
      <c r="H96" s="499">
        <f t="shared" si="28"/>
        <v>122973638</v>
      </c>
      <c r="I96" s="499">
        <f t="shared" si="29"/>
        <v>92745029</v>
      </c>
      <c r="J96" s="499">
        <v>5240300</v>
      </c>
      <c r="K96" s="499"/>
      <c r="L96" s="499">
        <v>0</v>
      </c>
      <c r="M96" s="499">
        <v>87504729</v>
      </c>
      <c r="N96" s="499">
        <v>0</v>
      </c>
      <c r="O96" s="499"/>
      <c r="P96" s="499"/>
      <c r="Q96" s="499">
        <v>0</v>
      </c>
      <c r="R96" s="500">
        <v>30228609</v>
      </c>
      <c r="S96" s="494">
        <f t="shared" si="10"/>
        <v>117733338</v>
      </c>
      <c r="T96" s="491">
        <f t="shared" si="11"/>
        <v>5.650221964996097</v>
      </c>
      <c r="U96" s="404">
        <f t="shared" si="23"/>
        <v>0</v>
      </c>
    </row>
    <row r="97" spans="1:21" s="415" customFormat="1" ht="24" customHeight="1">
      <c r="A97" s="414">
        <v>13.4</v>
      </c>
      <c r="B97" s="428" t="s">
        <v>559</v>
      </c>
      <c r="C97" s="499">
        <f t="shared" si="27"/>
        <v>64156874</v>
      </c>
      <c r="D97" s="499">
        <v>60364424</v>
      </c>
      <c r="E97" s="499">
        <v>3792450</v>
      </c>
      <c r="F97" s="499">
        <v>0</v>
      </c>
      <c r="G97" s="499">
        <v>0</v>
      </c>
      <c r="H97" s="499">
        <f t="shared" si="28"/>
        <v>64156874</v>
      </c>
      <c r="I97" s="499">
        <f t="shared" si="29"/>
        <v>58010131</v>
      </c>
      <c r="J97" s="499">
        <v>3118564</v>
      </c>
      <c r="K97" s="499">
        <v>10000</v>
      </c>
      <c r="L97" s="499">
        <v>0</v>
      </c>
      <c r="M97" s="499">
        <v>54881567</v>
      </c>
      <c r="N97" s="499">
        <v>0</v>
      </c>
      <c r="O97" s="499">
        <v>0</v>
      </c>
      <c r="P97" s="499">
        <v>0</v>
      </c>
      <c r="Q97" s="499">
        <v>0</v>
      </c>
      <c r="R97" s="500">
        <v>6146743</v>
      </c>
      <c r="S97" s="494">
        <f aca="true" t="shared" si="30" ref="S97:S111">M97+N97+O97+P97+Q97+R97</f>
        <v>61028310</v>
      </c>
      <c r="T97" s="491">
        <f aca="true" t="shared" si="31" ref="T97:T111">(J97+K97+L97)/I97*100</f>
        <v>5.393133830364906</v>
      </c>
      <c r="U97" s="404">
        <f t="shared" si="23"/>
        <v>0</v>
      </c>
    </row>
    <row r="98" spans="1:21" s="415" customFormat="1" ht="24" customHeight="1">
      <c r="A98" s="414">
        <v>13.5</v>
      </c>
      <c r="B98" s="429" t="s">
        <v>588</v>
      </c>
      <c r="C98" s="499">
        <f t="shared" si="27"/>
        <v>37312162</v>
      </c>
      <c r="D98" s="499">
        <v>37292491</v>
      </c>
      <c r="E98" s="499">
        <v>19671</v>
      </c>
      <c r="F98" s="499"/>
      <c r="G98" s="499"/>
      <c r="H98" s="499">
        <f t="shared" si="28"/>
        <v>37312162</v>
      </c>
      <c r="I98" s="499">
        <f>J98+K98+L98+M98+N98+O98+P98+Q98</f>
        <v>36388583</v>
      </c>
      <c r="J98" s="499">
        <v>73436</v>
      </c>
      <c r="K98" s="499"/>
      <c r="L98" s="499">
        <v>0</v>
      </c>
      <c r="M98" s="499">
        <v>36315147</v>
      </c>
      <c r="N98" s="499">
        <v>0</v>
      </c>
      <c r="O98" s="499"/>
      <c r="P98" s="499">
        <v>0</v>
      </c>
      <c r="Q98" s="499">
        <v>0</v>
      </c>
      <c r="R98" s="500">
        <v>923579</v>
      </c>
      <c r="S98" s="494">
        <f t="shared" si="30"/>
        <v>37238726</v>
      </c>
      <c r="T98" s="491">
        <f t="shared" si="31"/>
        <v>0.20181055140289472</v>
      </c>
      <c r="U98" s="404">
        <f t="shared" si="23"/>
        <v>0</v>
      </c>
    </row>
    <row r="99" spans="1:21" s="415" customFormat="1" ht="24" customHeight="1">
      <c r="A99" s="414">
        <v>13.6</v>
      </c>
      <c r="B99" s="429" t="s">
        <v>560</v>
      </c>
      <c r="C99" s="499">
        <f t="shared" si="27"/>
        <v>45305200</v>
      </c>
      <c r="D99" s="499">
        <v>44303682</v>
      </c>
      <c r="E99" s="499">
        <v>1001518</v>
      </c>
      <c r="F99" s="499">
        <v>0</v>
      </c>
      <c r="G99" s="499">
        <v>0</v>
      </c>
      <c r="H99" s="499">
        <f t="shared" si="28"/>
        <v>45305200</v>
      </c>
      <c r="I99" s="499">
        <f t="shared" si="29"/>
        <v>36488391</v>
      </c>
      <c r="J99" s="499">
        <v>1470813</v>
      </c>
      <c r="K99" s="499">
        <v>324195</v>
      </c>
      <c r="L99" s="499">
        <v>0</v>
      </c>
      <c r="M99" s="499">
        <v>34693383</v>
      </c>
      <c r="N99" s="499">
        <v>0</v>
      </c>
      <c r="O99" s="499"/>
      <c r="P99" s="499">
        <v>0</v>
      </c>
      <c r="Q99" s="499">
        <v>0</v>
      </c>
      <c r="R99" s="500">
        <v>8816809</v>
      </c>
      <c r="S99" s="494">
        <f t="shared" si="30"/>
        <v>43510192</v>
      </c>
      <c r="T99" s="491">
        <f t="shared" si="31"/>
        <v>4.919394774080337</v>
      </c>
      <c r="U99" s="404">
        <f t="shared" si="23"/>
        <v>0</v>
      </c>
    </row>
    <row r="100" spans="1:21" s="415" customFormat="1" ht="24" customHeight="1">
      <c r="A100" s="414">
        <v>13.7</v>
      </c>
      <c r="B100" s="429" t="s">
        <v>589</v>
      </c>
      <c r="C100" s="499">
        <f t="shared" si="27"/>
        <v>25505186</v>
      </c>
      <c r="D100" s="499">
        <v>20115801</v>
      </c>
      <c r="E100" s="499">
        <v>5389385</v>
      </c>
      <c r="F100" s="499">
        <v>0</v>
      </c>
      <c r="G100" s="499">
        <v>0</v>
      </c>
      <c r="H100" s="499">
        <f t="shared" si="28"/>
        <v>25505186</v>
      </c>
      <c r="I100" s="499">
        <f t="shared" si="29"/>
        <v>23055225</v>
      </c>
      <c r="J100" s="499">
        <v>1103252</v>
      </c>
      <c r="K100" s="499">
        <v>498276</v>
      </c>
      <c r="L100" s="499">
        <v>0</v>
      </c>
      <c r="M100" s="499">
        <v>21453697</v>
      </c>
      <c r="N100" s="499">
        <v>0</v>
      </c>
      <c r="O100" s="499">
        <v>0</v>
      </c>
      <c r="P100" s="499">
        <v>0</v>
      </c>
      <c r="Q100" s="499">
        <v>0</v>
      </c>
      <c r="R100" s="500">
        <v>2449961</v>
      </c>
      <c r="S100" s="494">
        <f t="shared" si="30"/>
        <v>23903658</v>
      </c>
      <c r="T100" s="491">
        <f t="shared" si="31"/>
        <v>6.9464861002224</v>
      </c>
      <c r="U100" s="404">
        <f t="shared" si="23"/>
        <v>0</v>
      </c>
    </row>
    <row r="101" spans="1:21" s="415" customFormat="1" ht="24" customHeight="1">
      <c r="A101" s="414">
        <v>13.8</v>
      </c>
      <c r="B101" s="427" t="s">
        <v>590</v>
      </c>
      <c r="C101" s="499">
        <f t="shared" si="27"/>
        <v>16769386</v>
      </c>
      <c r="D101" s="499">
        <v>14119271</v>
      </c>
      <c r="E101" s="499">
        <v>2650115</v>
      </c>
      <c r="F101" s="499"/>
      <c r="G101" s="499">
        <v>0</v>
      </c>
      <c r="H101" s="499">
        <f t="shared" si="28"/>
        <v>16769386</v>
      </c>
      <c r="I101" s="499">
        <f t="shared" si="29"/>
        <v>13336515</v>
      </c>
      <c r="J101" s="499">
        <v>13501</v>
      </c>
      <c r="K101" s="499">
        <v>0</v>
      </c>
      <c r="L101" s="499">
        <v>0</v>
      </c>
      <c r="M101" s="499">
        <v>13323014</v>
      </c>
      <c r="N101" s="499">
        <v>0</v>
      </c>
      <c r="O101" s="499">
        <v>0</v>
      </c>
      <c r="P101" s="499">
        <v>0</v>
      </c>
      <c r="Q101" s="499">
        <v>0</v>
      </c>
      <c r="R101" s="500">
        <v>3432871</v>
      </c>
      <c r="S101" s="494">
        <f t="shared" si="30"/>
        <v>16755885</v>
      </c>
      <c r="T101" s="491">
        <f t="shared" si="31"/>
        <v>0.10123334319348046</v>
      </c>
      <c r="U101" s="404">
        <f t="shared" si="23"/>
        <v>0</v>
      </c>
    </row>
    <row r="102" spans="1:21" s="415" customFormat="1" ht="24" customHeight="1">
      <c r="A102" s="414">
        <v>13.9</v>
      </c>
      <c r="B102" s="427" t="s">
        <v>561</v>
      </c>
      <c r="C102" s="499">
        <f t="shared" si="27"/>
        <v>57236056</v>
      </c>
      <c r="D102" s="499">
        <v>55697204</v>
      </c>
      <c r="E102" s="499">
        <v>1538852</v>
      </c>
      <c r="F102" s="499">
        <v>0</v>
      </c>
      <c r="G102" s="499">
        <v>0</v>
      </c>
      <c r="H102" s="499">
        <f>I102+R102</f>
        <v>57236056</v>
      </c>
      <c r="I102" s="499">
        <f t="shared" si="29"/>
        <v>37627576</v>
      </c>
      <c r="J102" s="499">
        <v>2593321</v>
      </c>
      <c r="K102" s="499">
        <v>1436499</v>
      </c>
      <c r="L102" s="499">
        <v>0</v>
      </c>
      <c r="M102" s="499">
        <v>33597756</v>
      </c>
      <c r="N102" s="499">
        <v>0</v>
      </c>
      <c r="O102" s="499">
        <v>0</v>
      </c>
      <c r="P102" s="499">
        <v>0</v>
      </c>
      <c r="Q102" s="499">
        <v>0</v>
      </c>
      <c r="R102" s="500">
        <v>19608480</v>
      </c>
      <c r="S102" s="494">
        <f t="shared" si="30"/>
        <v>53206236</v>
      </c>
      <c r="T102" s="491">
        <f t="shared" si="31"/>
        <v>10.709751805431209</v>
      </c>
      <c r="U102" s="404">
        <f t="shared" si="23"/>
        <v>0</v>
      </c>
    </row>
    <row r="103" spans="1:21" s="415" customFormat="1" ht="24" customHeight="1">
      <c r="A103" s="414" t="s">
        <v>562</v>
      </c>
      <c r="B103" s="427" t="s">
        <v>462</v>
      </c>
      <c r="C103" s="499">
        <f t="shared" si="27"/>
        <v>31664946</v>
      </c>
      <c r="D103" s="499">
        <v>30115131</v>
      </c>
      <c r="E103" s="499">
        <v>1549815</v>
      </c>
      <c r="F103" s="499">
        <v>0</v>
      </c>
      <c r="G103" s="499">
        <v>0</v>
      </c>
      <c r="H103" s="499">
        <f t="shared" si="28"/>
        <v>31664946</v>
      </c>
      <c r="I103" s="499">
        <f t="shared" si="29"/>
        <v>18258832</v>
      </c>
      <c r="J103" s="499">
        <v>27031</v>
      </c>
      <c r="K103" s="499"/>
      <c r="L103" s="499">
        <v>0</v>
      </c>
      <c r="M103" s="499">
        <v>18231801</v>
      </c>
      <c r="N103" s="499">
        <v>0</v>
      </c>
      <c r="O103" s="499">
        <v>0</v>
      </c>
      <c r="P103" s="499">
        <v>0</v>
      </c>
      <c r="Q103" s="499">
        <v>0</v>
      </c>
      <c r="R103" s="500">
        <v>13406114</v>
      </c>
      <c r="S103" s="494">
        <f t="shared" si="30"/>
        <v>31637915</v>
      </c>
      <c r="T103" s="491">
        <f t="shared" si="31"/>
        <v>0.14804342358810246</v>
      </c>
      <c r="U103" s="404">
        <f t="shared" si="23"/>
        <v>0</v>
      </c>
    </row>
    <row r="104" spans="1:21" s="400" customFormat="1" ht="24" customHeight="1">
      <c r="A104" s="399">
        <v>14</v>
      </c>
      <c r="B104" s="515" t="s">
        <v>523</v>
      </c>
      <c r="C104" s="514">
        <f>SUM(C105:C106)</f>
        <v>18325881</v>
      </c>
      <c r="D104" s="514">
        <f aca="true" t="shared" si="32" ref="D104:R104">SUM(D105:D106)</f>
        <v>14654948</v>
      </c>
      <c r="E104" s="514">
        <f t="shared" si="32"/>
        <v>3670933</v>
      </c>
      <c r="F104" s="514">
        <f t="shared" si="32"/>
        <v>6400</v>
      </c>
      <c r="G104" s="514">
        <f t="shared" si="32"/>
        <v>0</v>
      </c>
      <c r="H104" s="514">
        <f t="shared" si="32"/>
        <v>18319481</v>
      </c>
      <c r="I104" s="514">
        <f t="shared" si="32"/>
        <v>11228802</v>
      </c>
      <c r="J104" s="514">
        <f t="shared" si="32"/>
        <v>399924</v>
      </c>
      <c r="K104" s="514">
        <f t="shared" si="32"/>
        <v>444000</v>
      </c>
      <c r="L104" s="514">
        <f t="shared" si="32"/>
        <v>0</v>
      </c>
      <c r="M104" s="514">
        <f t="shared" si="32"/>
        <v>10384878</v>
      </c>
      <c r="N104" s="514">
        <f t="shared" si="32"/>
        <v>0</v>
      </c>
      <c r="O104" s="514">
        <f t="shared" si="32"/>
        <v>0</v>
      </c>
      <c r="P104" s="514">
        <f t="shared" si="32"/>
        <v>0</v>
      </c>
      <c r="Q104" s="514">
        <f t="shared" si="32"/>
        <v>0</v>
      </c>
      <c r="R104" s="514">
        <f t="shared" si="32"/>
        <v>7090679</v>
      </c>
      <c r="S104" s="514">
        <f t="shared" si="30"/>
        <v>17475557</v>
      </c>
      <c r="T104" s="402">
        <f t="shared" si="31"/>
        <v>7.515708265227225</v>
      </c>
      <c r="U104" s="401">
        <f t="shared" si="23"/>
        <v>0</v>
      </c>
    </row>
    <row r="105" spans="1:21" s="415" customFormat="1" ht="24" customHeight="1">
      <c r="A105" s="421" t="s">
        <v>524</v>
      </c>
      <c r="B105" s="418" t="s">
        <v>525</v>
      </c>
      <c r="C105" s="492">
        <f>D105+E105</f>
        <v>9374964</v>
      </c>
      <c r="D105" s="492">
        <v>8183021</v>
      </c>
      <c r="E105" s="492">
        <v>1191943</v>
      </c>
      <c r="F105" s="492">
        <v>6400</v>
      </c>
      <c r="G105" s="492">
        <v>0</v>
      </c>
      <c r="H105" s="492">
        <f>I105+R105</f>
        <v>9368564</v>
      </c>
      <c r="I105" s="492">
        <f>SUM(J105,K105,L105,M105,N105,O105,P105,Q105)</f>
        <v>3483228</v>
      </c>
      <c r="J105" s="492">
        <v>233672</v>
      </c>
      <c r="K105" s="492">
        <v>0</v>
      </c>
      <c r="L105" s="492">
        <v>0</v>
      </c>
      <c r="M105" s="492">
        <v>3249556</v>
      </c>
      <c r="N105" s="492">
        <v>0</v>
      </c>
      <c r="O105" s="498">
        <v>0</v>
      </c>
      <c r="P105" s="511">
        <v>0</v>
      </c>
      <c r="Q105" s="498">
        <v>0</v>
      </c>
      <c r="R105" s="512">
        <v>5885336</v>
      </c>
      <c r="S105" s="496">
        <f>M105+N105+O105+P105+Q105+R105</f>
        <v>9134892</v>
      </c>
      <c r="T105" s="491">
        <f t="shared" si="31"/>
        <v>6.708489940939841</v>
      </c>
      <c r="U105" s="404">
        <f t="shared" si="23"/>
        <v>0</v>
      </c>
    </row>
    <row r="106" spans="1:21" s="415" customFormat="1" ht="24" customHeight="1">
      <c r="A106" s="421" t="s">
        <v>526</v>
      </c>
      <c r="B106" s="418" t="s">
        <v>527</v>
      </c>
      <c r="C106" s="492">
        <f>D106+E106</f>
        <v>8950917</v>
      </c>
      <c r="D106" s="492">
        <v>6471927</v>
      </c>
      <c r="E106" s="492">
        <v>2478990</v>
      </c>
      <c r="F106" s="492">
        <v>0</v>
      </c>
      <c r="G106" s="492">
        <v>0</v>
      </c>
      <c r="H106" s="492">
        <f>I106+R106</f>
        <v>8950917</v>
      </c>
      <c r="I106" s="492">
        <f>SUM(J106,K106,L106,M106,N106,O106,P106,Q106)</f>
        <v>7745574</v>
      </c>
      <c r="J106" s="492">
        <v>166252</v>
      </c>
      <c r="K106" s="492">
        <v>444000</v>
      </c>
      <c r="L106" s="492">
        <v>0</v>
      </c>
      <c r="M106" s="492">
        <v>7135322</v>
      </c>
      <c r="N106" s="492">
        <v>0</v>
      </c>
      <c r="O106" s="498">
        <v>0</v>
      </c>
      <c r="P106" s="511">
        <v>0</v>
      </c>
      <c r="Q106" s="498">
        <v>0</v>
      </c>
      <c r="R106" s="512">
        <v>1205343</v>
      </c>
      <c r="S106" s="496">
        <f>M106+N106+O106+P106+Q106+R106</f>
        <v>8340665</v>
      </c>
      <c r="T106" s="491">
        <f t="shared" si="31"/>
        <v>7.878718865767727</v>
      </c>
      <c r="U106" s="404">
        <f t="shared" si="23"/>
        <v>0</v>
      </c>
    </row>
    <row r="107" spans="1:21" s="400" customFormat="1" ht="24" customHeight="1">
      <c r="A107" s="399">
        <v>15</v>
      </c>
      <c r="B107" s="515" t="s">
        <v>528</v>
      </c>
      <c r="C107" s="514">
        <f>SUM(C108:C111)</f>
        <v>44748337</v>
      </c>
      <c r="D107" s="514">
        <f aca="true" t="shared" si="33" ref="D107:R107">SUM(D108:D111)</f>
        <v>41245744</v>
      </c>
      <c r="E107" s="514">
        <f t="shared" si="33"/>
        <v>3502593</v>
      </c>
      <c r="F107" s="514">
        <f t="shared" si="33"/>
        <v>400</v>
      </c>
      <c r="G107" s="514">
        <f t="shared" si="33"/>
        <v>0</v>
      </c>
      <c r="H107" s="514">
        <f t="shared" si="33"/>
        <v>44747937</v>
      </c>
      <c r="I107" s="514">
        <f t="shared" si="33"/>
        <v>23483733</v>
      </c>
      <c r="J107" s="514">
        <f t="shared" si="33"/>
        <v>98097</v>
      </c>
      <c r="K107" s="514">
        <f t="shared" si="33"/>
        <v>0</v>
      </c>
      <c r="L107" s="514">
        <f t="shared" si="33"/>
        <v>0</v>
      </c>
      <c r="M107" s="514">
        <f t="shared" si="33"/>
        <v>23385636</v>
      </c>
      <c r="N107" s="514">
        <f t="shared" si="33"/>
        <v>0</v>
      </c>
      <c r="O107" s="514">
        <f t="shared" si="33"/>
        <v>0</v>
      </c>
      <c r="P107" s="514">
        <f t="shared" si="33"/>
        <v>0</v>
      </c>
      <c r="Q107" s="514">
        <f t="shared" si="33"/>
        <v>0</v>
      </c>
      <c r="R107" s="514">
        <f t="shared" si="33"/>
        <v>21264204</v>
      </c>
      <c r="S107" s="514">
        <f t="shared" si="30"/>
        <v>44649840</v>
      </c>
      <c r="T107" s="402">
        <f t="shared" si="31"/>
        <v>0.4177231958820176</v>
      </c>
      <c r="U107" s="401">
        <f>C107-F107-H107</f>
        <v>0</v>
      </c>
    </row>
    <row r="108" spans="1:21" s="415" customFormat="1" ht="24" customHeight="1">
      <c r="A108" s="414">
        <v>15.1</v>
      </c>
      <c r="B108" s="430" t="s">
        <v>529</v>
      </c>
      <c r="C108" s="492">
        <f>D108+E108</f>
        <v>11207807</v>
      </c>
      <c r="D108" s="492">
        <v>11084876</v>
      </c>
      <c r="E108" s="492">
        <v>122931</v>
      </c>
      <c r="F108" s="492">
        <v>400</v>
      </c>
      <c r="G108" s="492">
        <v>0</v>
      </c>
      <c r="H108" s="492">
        <f>C108-F108</f>
        <v>11207407</v>
      </c>
      <c r="I108" s="492">
        <f>H108-R108</f>
        <v>9505898</v>
      </c>
      <c r="J108" s="492">
        <v>18070</v>
      </c>
      <c r="K108" s="492">
        <v>0</v>
      </c>
      <c r="L108" s="492">
        <v>0</v>
      </c>
      <c r="M108" s="492">
        <f>I108-J108-K108-L108-N108-O108-P108-Q108</f>
        <v>9487828</v>
      </c>
      <c r="N108" s="492">
        <v>0</v>
      </c>
      <c r="O108" s="492">
        <v>0</v>
      </c>
      <c r="P108" s="492">
        <v>0</v>
      </c>
      <c r="Q108" s="498">
        <v>0</v>
      </c>
      <c r="R108" s="496">
        <v>1701509</v>
      </c>
      <c r="S108" s="494">
        <f t="shared" si="30"/>
        <v>11189337</v>
      </c>
      <c r="T108" s="491">
        <f t="shared" si="31"/>
        <v>0.19009250888238016</v>
      </c>
      <c r="U108" s="404">
        <f t="shared" si="23"/>
        <v>0</v>
      </c>
    </row>
    <row r="109" spans="1:21" s="415" customFormat="1" ht="24" customHeight="1">
      <c r="A109" s="414">
        <v>15.2</v>
      </c>
      <c r="B109" s="430" t="s">
        <v>563</v>
      </c>
      <c r="C109" s="492">
        <f>D109+E109</f>
        <v>12599830</v>
      </c>
      <c r="D109" s="492">
        <v>9472045</v>
      </c>
      <c r="E109" s="492">
        <v>3127785</v>
      </c>
      <c r="F109" s="492">
        <v>0</v>
      </c>
      <c r="G109" s="492">
        <v>0</v>
      </c>
      <c r="H109" s="492">
        <f>C109-F109</f>
        <v>12599830</v>
      </c>
      <c r="I109" s="492">
        <f>H109-R109</f>
        <v>11571669</v>
      </c>
      <c r="J109" s="492">
        <f>2100+20000</f>
        <v>22100</v>
      </c>
      <c r="K109" s="492">
        <v>0</v>
      </c>
      <c r="L109" s="492">
        <v>0</v>
      </c>
      <c r="M109" s="492">
        <f>I109-J109-K109-L109-N109-O109-P109-Q109</f>
        <v>11549569</v>
      </c>
      <c r="N109" s="492">
        <v>0</v>
      </c>
      <c r="O109" s="492">
        <v>0</v>
      </c>
      <c r="P109" s="492">
        <v>0</v>
      </c>
      <c r="Q109" s="498">
        <v>0</v>
      </c>
      <c r="R109" s="496">
        <v>1028161</v>
      </c>
      <c r="S109" s="494">
        <f t="shared" si="30"/>
        <v>12577730</v>
      </c>
      <c r="T109" s="491">
        <f t="shared" si="31"/>
        <v>0.1909836861043986</v>
      </c>
      <c r="U109" s="404">
        <f t="shared" si="23"/>
        <v>0</v>
      </c>
    </row>
    <row r="110" spans="1:21" s="415" customFormat="1" ht="24" customHeight="1">
      <c r="A110" s="414">
        <v>15.3</v>
      </c>
      <c r="B110" s="430" t="s">
        <v>564</v>
      </c>
      <c r="C110" s="492">
        <f>D110+E110</f>
        <v>18514574</v>
      </c>
      <c r="D110" s="492">
        <v>18295870</v>
      </c>
      <c r="E110" s="492">
        <v>218704</v>
      </c>
      <c r="F110" s="492">
        <v>0</v>
      </c>
      <c r="G110" s="492">
        <v>0</v>
      </c>
      <c r="H110" s="492">
        <f>C110-F110</f>
        <v>18514574</v>
      </c>
      <c r="I110" s="492">
        <f>H110-R110</f>
        <v>1005403</v>
      </c>
      <c r="J110" s="492">
        <v>54914</v>
      </c>
      <c r="K110" s="492">
        <v>0</v>
      </c>
      <c r="L110" s="492">
        <v>0</v>
      </c>
      <c r="M110" s="492">
        <f>I110-J110-K110-L110-N110-O110-P110-Q110</f>
        <v>950489</v>
      </c>
      <c r="N110" s="492">
        <v>0</v>
      </c>
      <c r="O110" s="492">
        <v>0</v>
      </c>
      <c r="P110" s="492">
        <v>0</v>
      </c>
      <c r="Q110" s="498">
        <v>0</v>
      </c>
      <c r="R110" s="496">
        <f>17514171-5000</f>
        <v>17509171</v>
      </c>
      <c r="S110" s="494">
        <f t="shared" si="30"/>
        <v>18459660</v>
      </c>
      <c r="T110" s="491">
        <f t="shared" si="31"/>
        <v>5.461889411509613</v>
      </c>
      <c r="U110" s="404">
        <f t="shared" si="23"/>
        <v>0</v>
      </c>
    </row>
    <row r="111" spans="1:21" s="431" customFormat="1" ht="29.25" customHeight="1">
      <c r="A111" s="414">
        <v>15.4</v>
      </c>
      <c r="B111" s="430" t="s">
        <v>565</v>
      </c>
      <c r="C111" s="492">
        <f>D111+E111</f>
        <v>2426126</v>
      </c>
      <c r="D111" s="492">
        <v>2392953</v>
      </c>
      <c r="E111" s="492">
        <v>33173</v>
      </c>
      <c r="F111" s="492">
        <v>0</v>
      </c>
      <c r="G111" s="492">
        <v>0</v>
      </c>
      <c r="H111" s="492">
        <f>C111-F111</f>
        <v>2426126</v>
      </c>
      <c r="I111" s="492">
        <f>H111-R111</f>
        <v>1400763</v>
      </c>
      <c r="J111" s="492">
        <v>3013</v>
      </c>
      <c r="K111" s="492">
        <v>0</v>
      </c>
      <c r="L111" s="492">
        <v>0</v>
      </c>
      <c r="M111" s="492">
        <f>I111-J111-K111-L111-N111-O111-P111-Q111</f>
        <v>1397750</v>
      </c>
      <c r="N111" s="492">
        <v>0</v>
      </c>
      <c r="O111" s="492">
        <v>0</v>
      </c>
      <c r="P111" s="492">
        <v>0</v>
      </c>
      <c r="Q111" s="498">
        <v>0</v>
      </c>
      <c r="R111" s="496">
        <v>1025363</v>
      </c>
      <c r="S111" s="494">
        <f t="shared" si="30"/>
        <v>2423113</v>
      </c>
      <c r="T111" s="491">
        <f t="shared" si="31"/>
        <v>0.21509705781777502</v>
      </c>
      <c r="U111" s="404">
        <f t="shared" si="23"/>
        <v>0</v>
      </c>
    </row>
    <row r="112" spans="1:21" s="431" customFormat="1" ht="19.5" customHeight="1">
      <c r="A112" s="858"/>
      <c r="B112" s="858"/>
      <c r="C112" s="858"/>
      <c r="D112" s="858"/>
      <c r="E112" s="858"/>
      <c r="F112" s="432"/>
      <c r="G112" s="433"/>
      <c r="H112" s="451"/>
      <c r="I112" s="451"/>
      <c r="J112" s="433"/>
      <c r="K112" s="433"/>
      <c r="L112" s="433"/>
      <c r="M112" s="433"/>
      <c r="N112" s="433"/>
      <c r="O112" s="897" t="s">
        <v>598</v>
      </c>
      <c r="P112" s="897"/>
      <c r="Q112" s="897"/>
      <c r="R112" s="897"/>
      <c r="S112" s="897"/>
      <c r="T112" s="897"/>
      <c r="U112" s="434"/>
    </row>
    <row r="113" spans="1:20" ht="18.75">
      <c r="A113" s="435"/>
      <c r="B113" s="857" t="s">
        <v>4</v>
      </c>
      <c r="C113" s="857"/>
      <c r="D113" s="857"/>
      <c r="E113" s="857"/>
      <c r="F113" s="436"/>
      <c r="G113" s="436"/>
      <c r="H113" s="452"/>
      <c r="I113" s="452"/>
      <c r="J113" s="436"/>
      <c r="K113" s="436"/>
      <c r="L113" s="436"/>
      <c r="M113" s="436"/>
      <c r="N113" s="436"/>
      <c r="O113" s="905" t="str">
        <f>'[8]Thong tin'!B7</f>
        <v>
PHÓ CỤC TRƯỞNG</v>
      </c>
      <c r="P113" s="905"/>
      <c r="Q113" s="905"/>
      <c r="R113" s="905"/>
      <c r="S113" s="905"/>
      <c r="T113" s="905"/>
    </row>
    <row r="114" spans="1:20" ht="18.75">
      <c r="A114" s="437"/>
      <c r="B114" s="438"/>
      <c r="C114" s="449"/>
      <c r="D114" s="439"/>
      <c r="E114" s="439"/>
      <c r="F114" s="439"/>
      <c r="G114" s="439"/>
      <c r="H114" s="449"/>
      <c r="I114" s="449"/>
      <c r="J114" s="439"/>
      <c r="K114" s="439"/>
      <c r="L114" s="439"/>
      <c r="M114" s="439"/>
      <c r="N114" s="439"/>
      <c r="O114" s="439"/>
      <c r="P114" s="439"/>
      <c r="Q114" s="439"/>
      <c r="R114" s="449"/>
      <c r="S114" s="449"/>
      <c r="T114" s="440"/>
    </row>
    <row r="115" spans="1:20" ht="18.75">
      <c r="A115" s="441"/>
      <c r="B115" s="855"/>
      <c r="C115" s="855"/>
      <c r="D115" s="855"/>
      <c r="E115" s="439"/>
      <c r="F115" s="439"/>
      <c r="G115" s="439"/>
      <c r="H115" s="449"/>
      <c r="I115" s="449"/>
      <c r="J115" s="439"/>
      <c r="K115" s="439"/>
      <c r="L115" s="439"/>
      <c r="M115" s="439"/>
      <c r="N115" s="439"/>
      <c r="O115" s="439"/>
      <c r="P115" s="439"/>
      <c r="Q115" s="854"/>
      <c r="R115" s="854"/>
      <c r="S115" s="854"/>
      <c r="T115" s="440"/>
    </row>
    <row r="116" spans="1:20" ht="15.75" customHeight="1">
      <c r="A116" s="442"/>
      <c r="B116" s="438"/>
      <c r="C116" s="449"/>
      <c r="D116" s="439"/>
      <c r="E116" s="439"/>
      <c r="F116" s="439"/>
      <c r="G116" s="439"/>
      <c r="H116" s="449"/>
      <c r="I116" s="449"/>
      <c r="J116" s="439"/>
      <c r="K116" s="439"/>
      <c r="L116" s="439"/>
      <c r="M116" s="439"/>
      <c r="N116" s="439"/>
      <c r="O116" s="439"/>
      <c r="P116" s="439"/>
      <c r="Q116" s="439"/>
      <c r="R116" s="449"/>
      <c r="S116" s="449"/>
      <c r="T116" s="440"/>
    </row>
    <row r="117" spans="1:20" ht="15.75" customHeight="1">
      <c r="A117" s="441"/>
      <c r="B117" s="855"/>
      <c r="C117" s="855"/>
      <c r="D117" s="855"/>
      <c r="E117" s="855"/>
      <c r="F117" s="855"/>
      <c r="G117" s="855"/>
      <c r="H117" s="855"/>
      <c r="I117" s="855"/>
      <c r="J117" s="855"/>
      <c r="K117" s="855"/>
      <c r="L117" s="855"/>
      <c r="M117" s="855"/>
      <c r="N117" s="855"/>
      <c r="O117" s="855"/>
      <c r="P117" s="855"/>
      <c r="Q117" s="439"/>
      <c r="R117" s="449"/>
      <c r="S117" s="449"/>
      <c r="T117" s="440"/>
    </row>
    <row r="118" spans="1:20" ht="18.75">
      <c r="A118" s="443"/>
      <c r="B118" s="444"/>
      <c r="C118" s="450"/>
      <c r="D118" s="445"/>
      <c r="E118" s="445"/>
      <c r="F118" s="445"/>
      <c r="G118" s="445"/>
      <c r="H118" s="450"/>
      <c r="I118" s="450"/>
      <c r="J118" s="445"/>
      <c r="K118" s="445"/>
      <c r="L118" s="445"/>
      <c r="M118" s="445"/>
      <c r="N118" s="445"/>
      <c r="O118" s="445"/>
      <c r="P118" s="445"/>
      <c r="Q118" s="445"/>
      <c r="R118" s="449"/>
      <c r="S118" s="449"/>
      <c r="T118" s="440"/>
    </row>
    <row r="119" spans="1:20" ht="18.75">
      <c r="A119" s="441"/>
      <c r="B119" s="855" t="str">
        <f>'Thong tin'!B5</f>
        <v>Trần Thị Minh</v>
      </c>
      <c r="C119" s="855"/>
      <c r="D119" s="855"/>
      <c r="E119" s="855"/>
      <c r="F119" s="439"/>
      <c r="G119" s="439"/>
      <c r="H119" s="449"/>
      <c r="I119" s="449"/>
      <c r="J119" s="439"/>
      <c r="K119" s="439"/>
      <c r="L119" s="439"/>
      <c r="M119" s="439"/>
      <c r="N119" s="439"/>
      <c r="O119" s="855" t="str">
        <f>'Thong tin'!B6</f>
        <v>Nguyễn Thị Mai Hoa</v>
      </c>
      <c r="P119" s="855"/>
      <c r="Q119" s="855"/>
      <c r="R119" s="855"/>
      <c r="S119" s="855"/>
      <c r="T119" s="855"/>
    </row>
    <row r="120" spans="2:20" ht="18.75">
      <c r="B120" s="903"/>
      <c r="C120" s="903"/>
      <c r="D120" s="903"/>
      <c r="E120" s="903"/>
      <c r="P120" s="903"/>
      <c r="Q120" s="903"/>
      <c r="R120" s="903"/>
      <c r="S120" s="903"/>
      <c r="T120" s="904"/>
    </row>
  </sheetData>
  <sheetProtection/>
  <mergeCells count="37">
    <mergeCell ref="Q115:S115"/>
    <mergeCell ref="B115:D115"/>
    <mergeCell ref="A11:B11"/>
    <mergeCell ref="B120:E120"/>
    <mergeCell ref="P120:T120"/>
    <mergeCell ref="B119:E119"/>
    <mergeCell ref="B117:P117"/>
    <mergeCell ref="O119:T119"/>
    <mergeCell ref="O113:T113"/>
    <mergeCell ref="B113:E113"/>
    <mergeCell ref="A10:B10"/>
    <mergeCell ref="E8:E9"/>
    <mergeCell ref="A6:B9"/>
    <mergeCell ref="O112:T112"/>
    <mergeCell ref="T6:T9"/>
    <mergeCell ref="I7:Q7"/>
    <mergeCell ref="S6:S9"/>
    <mergeCell ref="A112:E112"/>
    <mergeCell ref="E1:P1"/>
    <mergeCell ref="E2:P2"/>
    <mergeCell ref="E3:P3"/>
    <mergeCell ref="D7:E7"/>
    <mergeCell ref="C6:E6"/>
    <mergeCell ref="C7:C9"/>
    <mergeCell ref="A2:D2"/>
    <mergeCell ref="J8:Q8"/>
    <mergeCell ref="H7:H9"/>
    <mergeCell ref="D8:D9"/>
    <mergeCell ref="Q2:T2"/>
    <mergeCell ref="Q4:T4"/>
    <mergeCell ref="A3:D3"/>
    <mergeCell ref="R7:R9"/>
    <mergeCell ref="I8:I9"/>
    <mergeCell ref="F6:F9"/>
    <mergeCell ref="G6:G9"/>
    <mergeCell ref="H6:R6"/>
    <mergeCell ref="Q5:T5"/>
  </mergeCells>
  <conditionalFormatting sqref="C87:C88">
    <cfRule type="expression" priority="4" dxfId="0" stopIfTrue="1">
      <formula>$C$16&lt;&gt;$F$16+$H$16</formula>
    </cfRule>
  </conditionalFormatting>
  <conditionalFormatting sqref="C87:C88">
    <cfRule type="expression" priority="3" dxfId="0" stopIfTrue="1">
      <formula>$C$16&lt;&gt;$F$16+$H$16</formula>
    </cfRule>
  </conditionalFormatting>
  <printOptions/>
  <pageMargins left="0.24" right="0" top="0" bottom="0" header="0.511811023622047" footer="0.275590551181102"/>
  <pageSetup horizontalDpi="600" verticalDpi="600" orientation="landscape" paperSize="9" scale="76" r:id="rId4"/>
  <headerFooter alignWithMargins="0">
    <oddFooter>&amp;CPage &amp;P</oddFooter>
  </headerFooter>
  <ignoredErrors>
    <ignoredError sqref="D32:R32 D89:R89 I43:I44" formulaRange="1"/>
    <ignoredError sqref="C90:R92 C56:C60 S56:T60 H56:H60 J61:T61 J56:R60" unlockedFormula="1"/>
    <ignoredError sqref="T45:T46" evalError="1"/>
    <ignoredError sqref="C93:R93 C104:S104 C42:H42 C45:H45 C107:S107 S105:S106 C61 H62:H67 L69:T71 C68 S73:T75 C72 T72 T68 J45:R45" formula="1"/>
    <ignoredError sqref="I56:I60 I62:I67 J68:S68 D72:S72 D68:G68 H68:I68 I45 H61 C69:K71 I61" formulaRange="1" unlockedFormula="1"/>
    <ignoredError sqref="I62:I67 J68:S68 D72:S72 D68:G68 H68:I68 I45" formula="1" formulaRange="1"/>
    <ignoredError sqref="H61 C69:K71" formula="1" unlockedFormula="1"/>
    <ignoredError sqref="I61" formula="1" formulaRange="1" unlockedFormula="1"/>
  </ignoredErrors>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96" t="s">
        <v>29</v>
      </c>
      <c r="B1" s="596"/>
      <c r="C1" s="596"/>
      <c r="D1" s="596"/>
      <c r="E1" s="595" t="s">
        <v>371</v>
      </c>
      <c r="F1" s="595"/>
      <c r="G1" s="595"/>
      <c r="H1" s="595"/>
      <c r="I1" s="595"/>
      <c r="J1" s="595"/>
      <c r="K1" s="595"/>
      <c r="L1" s="31" t="s">
        <v>347</v>
      </c>
      <c r="M1" s="31"/>
      <c r="N1" s="31"/>
      <c r="O1" s="32"/>
      <c r="P1" s="32"/>
    </row>
    <row r="2" spans="1:16" ht="15.75" customHeight="1">
      <c r="A2" s="598" t="s">
        <v>238</v>
      </c>
      <c r="B2" s="598"/>
      <c r="C2" s="598"/>
      <c r="D2" s="598"/>
      <c r="E2" s="595"/>
      <c r="F2" s="595"/>
      <c r="G2" s="595"/>
      <c r="H2" s="595"/>
      <c r="I2" s="595"/>
      <c r="J2" s="595"/>
      <c r="K2" s="595"/>
      <c r="L2" s="599" t="s">
        <v>250</v>
      </c>
      <c r="M2" s="599"/>
      <c r="N2" s="599"/>
      <c r="O2" s="35"/>
      <c r="P2" s="32"/>
    </row>
    <row r="3" spans="1:16" ht="18" customHeight="1">
      <c r="A3" s="598" t="s">
        <v>239</v>
      </c>
      <c r="B3" s="598"/>
      <c r="C3" s="598"/>
      <c r="D3" s="598"/>
      <c r="E3" s="597" t="s">
        <v>367</v>
      </c>
      <c r="F3" s="597"/>
      <c r="G3" s="597"/>
      <c r="H3" s="597"/>
      <c r="I3" s="597"/>
      <c r="J3" s="597"/>
      <c r="K3" s="36"/>
      <c r="L3" s="600" t="s">
        <v>366</v>
      </c>
      <c r="M3" s="600"/>
      <c r="N3" s="600"/>
      <c r="O3" s="32"/>
      <c r="P3" s="32"/>
    </row>
    <row r="4" spans="1:16" ht="21" customHeight="1">
      <c r="A4" s="601" t="s">
        <v>253</v>
      </c>
      <c r="B4" s="601"/>
      <c r="C4" s="601"/>
      <c r="D4" s="601"/>
      <c r="E4" s="39"/>
      <c r="F4" s="40"/>
      <c r="G4" s="41"/>
      <c r="H4" s="41"/>
      <c r="I4" s="41"/>
      <c r="J4" s="41"/>
      <c r="K4" s="32"/>
      <c r="L4" s="599" t="s">
        <v>245</v>
      </c>
      <c r="M4" s="599"/>
      <c r="N4" s="599"/>
      <c r="O4" s="35"/>
      <c r="P4" s="32"/>
    </row>
    <row r="5" spans="1:16" ht="18" customHeight="1">
      <c r="A5" s="41"/>
      <c r="B5" s="32"/>
      <c r="C5" s="42"/>
      <c r="D5" s="585"/>
      <c r="E5" s="585"/>
      <c r="F5" s="585"/>
      <c r="G5" s="585"/>
      <c r="H5" s="585"/>
      <c r="I5" s="585"/>
      <c r="J5" s="585"/>
      <c r="K5" s="585"/>
      <c r="L5" s="43" t="s">
        <v>254</v>
      </c>
      <c r="M5" s="43"/>
      <c r="N5" s="43"/>
      <c r="O5" s="32"/>
      <c r="P5" s="32"/>
    </row>
    <row r="6" spans="1:18" ht="33" customHeight="1">
      <c r="A6" s="615" t="s">
        <v>55</v>
      </c>
      <c r="B6" s="616"/>
      <c r="C6" s="586" t="s">
        <v>255</v>
      </c>
      <c r="D6" s="586"/>
      <c r="E6" s="586"/>
      <c r="F6" s="586"/>
      <c r="G6" s="587" t="s">
        <v>7</v>
      </c>
      <c r="H6" s="588"/>
      <c r="I6" s="588"/>
      <c r="J6" s="588"/>
      <c r="K6" s="588"/>
      <c r="L6" s="588"/>
      <c r="M6" s="588"/>
      <c r="N6" s="589"/>
      <c r="O6" s="582" t="s">
        <v>256</v>
      </c>
      <c r="P6" s="583"/>
      <c r="Q6" s="583"/>
      <c r="R6" s="584"/>
    </row>
    <row r="7" spans="1:18" ht="29.25" customHeight="1">
      <c r="A7" s="617"/>
      <c r="B7" s="618"/>
      <c r="C7" s="586"/>
      <c r="D7" s="586"/>
      <c r="E7" s="586"/>
      <c r="F7" s="586"/>
      <c r="G7" s="587" t="s">
        <v>257</v>
      </c>
      <c r="H7" s="588"/>
      <c r="I7" s="588"/>
      <c r="J7" s="589"/>
      <c r="K7" s="587" t="s">
        <v>90</v>
      </c>
      <c r="L7" s="588"/>
      <c r="M7" s="588"/>
      <c r="N7" s="589"/>
      <c r="O7" s="45" t="s">
        <v>258</v>
      </c>
      <c r="P7" s="45" t="s">
        <v>259</v>
      </c>
      <c r="Q7" s="590" t="s">
        <v>260</v>
      </c>
      <c r="R7" s="590" t="s">
        <v>261</v>
      </c>
    </row>
    <row r="8" spans="1:18" ht="26.25" customHeight="1">
      <c r="A8" s="617"/>
      <c r="B8" s="618"/>
      <c r="C8" s="605" t="s">
        <v>87</v>
      </c>
      <c r="D8" s="609"/>
      <c r="E8" s="605" t="s">
        <v>86</v>
      </c>
      <c r="F8" s="609"/>
      <c r="G8" s="605" t="s">
        <v>88</v>
      </c>
      <c r="H8" s="606"/>
      <c r="I8" s="605" t="s">
        <v>89</v>
      </c>
      <c r="J8" s="606"/>
      <c r="K8" s="605" t="s">
        <v>91</v>
      </c>
      <c r="L8" s="606"/>
      <c r="M8" s="605" t="s">
        <v>92</v>
      </c>
      <c r="N8" s="606"/>
      <c r="O8" s="592" t="s">
        <v>262</v>
      </c>
      <c r="P8" s="593" t="s">
        <v>263</v>
      </c>
      <c r="Q8" s="590"/>
      <c r="R8" s="590"/>
    </row>
    <row r="9" spans="1:18" ht="30.75" customHeight="1">
      <c r="A9" s="617"/>
      <c r="B9" s="618"/>
      <c r="C9" s="46" t="s">
        <v>3</v>
      </c>
      <c r="D9" s="44" t="s">
        <v>9</v>
      </c>
      <c r="E9" s="44" t="s">
        <v>3</v>
      </c>
      <c r="F9" s="44" t="s">
        <v>9</v>
      </c>
      <c r="G9" s="47" t="s">
        <v>3</v>
      </c>
      <c r="H9" s="47" t="s">
        <v>9</v>
      </c>
      <c r="I9" s="47" t="s">
        <v>3</v>
      </c>
      <c r="J9" s="47" t="s">
        <v>9</v>
      </c>
      <c r="K9" s="47" t="s">
        <v>3</v>
      </c>
      <c r="L9" s="47" t="s">
        <v>9</v>
      </c>
      <c r="M9" s="47" t="s">
        <v>3</v>
      </c>
      <c r="N9" s="47" t="s">
        <v>9</v>
      </c>
      <c r="O9" s="592"/>
      <c r="P9" s="594"/>
      <c r="Q9" s="591"/>
      <c r="R9" s="591"/>
    </row>
    <row r="10" spans="1:18" s="52" customFormat="1" ht="18" customHeight="1">
      <c r="A10" s="614" t="s">
        <v>6</v>
      </c>
      <c r="B10" s="614"/>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10" t="s">
        <v>264</v>
      </c>
      <c r="B11" s="61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12" t="s">
        <v>368</v>
      </c>
      <c r="B12" s="61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2" t="s">
        <v>31</v>
      </c>
      <c r="B13" s="603"/>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4" t="s">
        <v>369</v>
      </c>
      <c r="C28" s="604"/>
      <c r="D28" s="604"/>
      <c r="E28" s="604"/>
      <c r="F28" s="75"/>
      <c r="G28" s="76"/>
      <c r="H28" s="76"/>
      <c r="I28" s="76"/>
      <c r="J28" s="604" t="s">
        <v>370</v>
      </c>
      <c r="K28" s="604"/>
      <c r="L28" s="604"/>
      <c r="M28" s="604"/>
      <c r="N28" s="604"/>
      <c r="O28" s="77"/>
      <c r="P28" s="77"/>
      <c r="AG28" s="78" t="s">
        <v>285</v>
      </c>
      <c r="AI28" s="79">
        <f>82/88</f>
        <v>0.9318181818181818</v>
      </c>
    </row>
    <row r="29" spans="1:16" s="85" customFormat="1" ht="19.5" customHeight="1">
      <c r="A29" s="80"/>
      <c r="B29" s="579" t="s">
        <v>35</v>
      </c>
      <c r="C29" s="579"/>
      <c r="D29" s="579"/>
      <c r="E29" s="579"/>
      <c r="F29" s="82"/>
      <c r="G29" s="83"/>
      <c r="H29" s="83"/>
      <c r="I29" s="83"/>
      <c r="J29" s="579" t="s">
        <v>286</v>
      </c>
      <c r="K29" s="579"/>
      <c r="L29" s="579"/>
      <c r="M29" s="579"/>
      <c r="N29" s="579"/>
      <c r="O29" s="84"/>
      <c r="P29" s="84"/>
    </row>
    <row r="30" spans="1:16" s="85" customFormat="1" ht="19.5" customHeight="1">
      <c r="A30" s="80"/>
      <c r="B30" s="577"/>
      <c r="C30" s="577"/>
      <c r="D30" s="577"/>
      <c r="E30" s="82"/>
      <c r="F30" s="82"/>
      <c r="G30" s="83"/>
      <c r="H30" s="83"/>
      <c r="I30" s="83"/>
      <c r="J30" s="578"/>
      <c r="K30" s="578"/>
      <c r="L30" s="578"/>
      <c r="M30" s="578"/>
      <c r="N30" s="578"/>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581" t="s">
        <v>287</v>
      </c>
      <c r="C32" s="581"/>
      <c r="D32" s="581"/>
      <c r="E32" s="581"/>
      <c r="F32" s="87"/>
      <c r="G32" s="88"/>
      <c r="H32" s="88"/>
      <c r="I32" s="88"/>
      <c r="J32" s="580" t="s">
        <v>287</v>
      </c>
      <c r="K32" s="580"/>
      <c r="L32" s="580"/>
      <c r="M32" s="580"/>
      <c r="N32" s="580"/>
      <c r="O32" s="84"/>
      <c r="P32" s="84"/>
    </row>
    <row r="33" spans="1:16" s="85" customFormat="1" ht="19.5" customHeight="1">
      <c r="A33" s="80"/>
      <c r="B33" s="579" t="s">
        <v>288</v>
      </c>
      <c r="C33" s="579"/>
      <c r="D33" s="579"/>
      <c r="E33" s="579"/>
      <c r="F33" s="82"/>
      <c r="G33" s="83"/>
      <c r="H33" s="83"/>
      <c r="I33" s="83"/>
      <c r="J33" s="81"/>
      <c r="K33" s="579" t="s">
        <v>288</v>
      </c>
      <c r="L33" s="579"/>
      <c r="M33" s="579"/>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07" t="s">
        <v>241</v>
      </c>
      <c r="C36" s="607"/>
      <c r="D36" s="607"/>
      <c r="E36" s="607"/>
      <c r="F36" s="91"/>
      <c r="G36" s="91"/>
      <c r="H36" s="91"/>
      <c r="I36" s="91"/>
      <c r="J36" s="608" t="s">
        <v>242</v>
      </c>
      <c r="K36" s="608"/>
      <c r="L36" s="608"/>
      <c r="M36" s="608"/>
      <c r="N36" s="608"/>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11:B11"/>
    <mergeCell ref="A12:B12"/>
    <mergeCell ref="A10:B10"/>
    <mergeCell ref="A6:B9"/>
    <mergeCell ref="A13:B13"/>
    <mergeCell ref="B28:E28"/>
    <mergeCell ref="K7:N7"/>
    <mergeCell ref="I8:J8"/>
    <mergeCell ref="M8:N8"/>
    <mergeCell ref="G7:J7"/>
    <mergeCell ref="J28:N28"/>
    <mergeCell ref="K8:L8"/>
    <mergeCell ref="J29:N29"/>
    <mergeCell ref="E1:K2"/>
    <mergeCell ref="A1:D1"/>
    <mergeCell ref="E3:J3"/>
    <mergeCell ref="A3:D3"/>
    <mergeCell ref="L4:N4"/>
    <mergeCell ref="A2:D2"/>
    <mergeCell ref="L2:N2"/>
    <mergeCell ref="L3:N3"/>
    <mergeCell ref="A4:D4"/>
    <mergeCell ref="O6:R6"/>
    <mergeCell ref="D5:K5"/>
    <mergeCell ref="C6:F7"/>
    <mergeCell ref="G6:N6"/>
    <mergeCell ref="R7:R9"/>
    <mergeCell ref="Q7:Q9"/>
    <mergeCell ref="O8:O9"/>
    <mergeCell ref="P8:P9"/>
    <mergeCell ref="B30:D30"/>
    <mergeCell ref="J30:N30"/>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19" t="s">
        <v>26</v>
      </c>
      <c r="B1" s="619"/>
      <c r="C1" s="98"/>
      <c r="D1" s="626" t="s">
        <v>348</v>
      </c>
      <c r="E1" s="626"/>
      <c r="F1" s="626"/>
      <c r="G1" s="626"/>
      <c r="H1" s="626"/>
      <c r="I1" s="626"/>
      <c r="J1" s="626"/>
      <c r="K1" s="626"/>
      <c r="L1" s="626"/>
      <c r="M1" s="644" t="s">
        <v>289</v>
      </c>
      <c r="N1" s="645"/>
      <c r="O1" s="645"/>
      <c r="P1" s="645"/>
    </row>
    <row r="2" spans="1:16" s="42" customFormat="1" ht="34.5" customHeight="1">
      <c r="A2" s="625" t="s">
        <v>290</v>
      </c>
      <c r="B2" s="625"/>
      <c r="C2" s="625"/>
      <c r="D2" s="626"/>
      <c r="E2" s="626"/>
      <c r="F2" s="626"/>
      <c r="G2" s="626"/>
      <c r="H2" s="626"/>
      <c r="I2" s="626"/>
      <c r="J2" s="626"/>
      <c r="K2" s="626"/>
      <c r="L2" s="626"/>
      <c r="M2" s="646" t="s">
        <v>349</v>
      </c>
      <c r="N2" s="647"/>
      <c r="O2" s="647"/>
      <c r="P2" s="647"/>
    </row>
    <row r="3" spans="1:16" s="42" customFormat="1" ht="19.5" customHeight="1">
      <c r="A3" s="624" t="s">
        <v>291</v>
      </c>
      <c r="B3" s="624"/>
      <c r="C3" s="624"/>
      <c r="D3" s="626"/>
      <c r="E3" s="626"/>
      <c r="F3" s="626"/>
      <c r="G3" s="626"/>
      <c r="H3" s="626"/>
      <c r="I3" s="626"/>
      <c r="J3" s="626"/>
      <c r="K3" s="626"/>
      <c r="L3" s="626"/>
      <c r="M3" s="646" t="s">
        <v>292</v>
      </c>
      <c r="N3" s="647"/>
      <c r="O3" s="647"/>
      <c r="P3" s="647"/>
    </row>
    <row r="4" spans="1:16" s="103" customFormat="1" ht="18.75" customHeight="1">
      <c r="A4" s="99"/>
      <c r="B4" s="99"/>
      <c r="C4" s="100"/>
      <c r="D4" s="585"/>
      <c r="E4" s="585"/>
      <c r="F4" s="585"/>
      <c r="G4" s="585"/>
      <c r="H4" s="585"/>
      <c r="I4" s="585"/>
      <c r="J4" s="585"/>
      <c r="K4" s="585"/>
      <c r="L4" s="585"/>
      <c r="M4" s="101" t="s">
        <v>293</v>
      </c>
      <c r="N4" s="102"/>
      <c r="O4" s="102"/>
      <c r="P4" s="102"/>
    </row>
    <row r="5" spans="1:16" ht="49.5" customHeight="1">
      <c r="A5" s="631" t="s">
        <v>55</v>
      </c>
      <c r="B5" s="632"/>
      <c r="C5" s="621" t="s">
        <v>80</v>
      </c>
      <c r="D5" s="622"/>
      <c r="E5" s="622"/>
      <c r="F5" s="622"/>
      <c r="G5" s="622"/>
      <c r="H5" s="622"/>
      <c r="I5" s="622"/>
      <c r="J5" s="622"/>
      <c r="K5" s="620" t="s">
        <v>79</v>
      </c>
      <c r="L5" s="620"/>
      <c r="M5" s="620"/>
      <c r="N5" s="620"/>
      <c r="O5" s="620"/>
      <c r="P5" s="620"/>
    </row>
    <row r="6" spans="1:16" ht="20.25" customHeight="1">
      <c r="A6" s="633"/>
      <c r="B6" s="634"/>
      <c r="C6" s="621" t="s">
        <v>3</v>
      </c>
      <c r="D6" s="622"/>
      <c r="E6" s="622"/>
      <c r="F6" s="623"/>
      <c r="G6" s="620" t="s">
        <v>9</v>
      </c>
      <c r="H6" s="620"/>
      <c r="I6" s="620"/>
      <c r="J6" s="620"/>
      <c r="K6" s="648" t="s">
        <v>3</v>
      </c>
      <c r="L6" s="648"/>
      <c r="M6" s="648"/>
      <c r="N6" s="643" t="s">
        <v>9</v>
      </c>
      <c r="O6" s="643"/>
      <c r="P6" s="643"/>
    </row>
    <row r="7" spans="1:16" ht="52.5" customHeight="1">
      <c r="A7" s="633"/>
      <c r="B7" s="634"/>
      <c r="C7" s="637" t="s">
        <v>294</v>
      </c>
      <c r="D7" s="622" t="s">
        <v>76</v>
      </c>
      <c r="E7" s="622"/>
      <c r="F7" s="623"/>
      <c r="G7" s="620" t="s">
        <v>295</v>
      </c>
      <c r="H7" s="620" t="s">
        <v>76</v>
      </c>
      <c r="I7" s="620"/>
      <c r="J7" s="620"/>
      <c r="K7" s="620" t="s">
        <v>32</v>
      </c>
      <c r="L7" s="620" t="s">
        <v>77</v>
      </c>
      <c r="M7" s="620"/>
      <c r="N7" s="620" t="s">
        <v>62</v>
      </c>
      <c r="O7" s="620" t="s">
        <v>77</v>
      </c>
      <c r="P7" s="620"/>
    </row>
    <row r="8" spans="1:16" ht="15.75" customHeight="1">
      <c r="A8" s="633"/>
      <c r="B8" s="634"/>
      <c r="C8" s="637"/>
      <c r="D8" s="620" t="s">
        <v>36</v>
      </c>
      <c r="E8" s="620" t="s">
        <v>37</v>
      </c>
      <c r="F8" s="620" t="s">
        <v>40</v>
      </c>
      <c r="G8" s="620"/>
      <c r="H8" s="620" t="s">
        <v>36</v>
      </c>
      <c r="I8" s="620" t="s">
        <v>37</v>
      </c>
      <c r="J8" s="620" t="s">
        <v>40</v>
      </c>
      <c r="K8" s="620"/>
      <c r="L8" s="620" t="s">
        <v>14</v>
      </c>
      <c r="M8" s="620" t="s">
        <v>13</v>
      </c>
      <c r="N8" s="620"/>
      <c r="O8" s="620" t="s">
        <v>14</v>
      </c>
      <c r="P8" s="620" t="s">
        <v>13</v>
      </c>
    </row>
    <row r="9" spans="1:16" ht="44.25" customHeight="1">
      <c r="A9" s="635"/>
      <c r="B9" s="636"/>
      <c r="C9" s="638"/>
      <c r="D9" s="620"/>
      <c r="E9" s="620"/>
      <c r="F9" s="620"/>
      <c r="G9" s="620"/>
      <c r="H9" s="620"/>
      <c r="I9" s="620"/>
      <c r="J9" s="620"/>
      <c r="K9" s="620"/>
      <c r="L9" s="620"/>
      <c r="M9" s="620"/>
      <c r="N9" s="620"/>
      <c r="O9" s="620"/>
      <c r="P9" s="620"/>
    </row>
    <row r="10" spans="1:16" ht="15" customHeight="1">
      <c r="A10" s="629" t="s">
        <v>6</v>
      </c>
      <c r="B10" s="630"/>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41" t="s">
        <v>296</v>
      </c>
      <c r="B11" s="642"/>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39" t="s">
        <v>297</v>
      </c>
      <c r="B12" s="640"/>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27" t="s">
        <v>33</v>
      </c>
      <c r="B13" s="62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54" t="s">
        <v>350</v>
      </c>
      <c r="C28" s="655"/>
      <c r="D28" s="655"/>
      <c r="E28" s="655"/>
      <c r="F28" s="123"/>
      <c r="G28" s="123"/>
      <c r="H28" s="123"/>
      <c r="I28" s="123"/>
      <c r="J28" s="123"/>
      <c r="K28" s="649" t="s">
        <v>351</v>
      </c>
      <c r="L28" s="649"/>
      <c r="M28" s="649"/>
      <c r="N28" s="649"/>
      <c r="O28" s="649"/>
      <c r="P28" s="649"/>
      <c r="AG28" s="73" t="s">
        <v>285</v>
      </c>
      <c r="AI28" s="113">
        <f>82/88</f>
        <v>0.9318181818181818</v>
      </c>
    </row>
    <row r="29" spans="2:16" ht="16.5">
      <c r="B29" s="655"/>
      <c r="C29" s="655"/>
      <c r="D29" s="655"/>
      <c r="E29" s="655"/>
      <c r="F29" s="123"/>
      <c r="G29" s="123"/>
      <c r="H29" s="123"/>
      <c r="I29" s="123"/>
      <c r="J29" s="123"/>
      <c r="K29" s="649"/>
      <c r="L29" s="649"/>
      <c r="M29" s="649"/>
      <c r="N29" s="649"/>
      <c r="O29" s="649"/>
      <c r="P29" s="649"/>
    </row>
    <row r="30" spans="2:16" ht="21" customHeight="1">
      <c r="B30" s="655"/>
      <c r="C30" s="655"/>
      <c r="D30" s="655"/>
      <c r="E30" s="655"/>
      <c r="F30" s="123"/>
      <c r="G30" s="123"/>
      <c r="H30" s="123"/>
      <c r="I30" s="123"/>
      <c r="J30" s="123"/>
      <c r="K30" s="649"/>
      <c r="L30" s="649"/>
      <c r="M30" s="649"/>
      <c r="N30" s="649"/>
      <c r="O30" s="649"/>
      <c r="P30" s="649"/>
    </row>
    <row r="32" spans="2:16" ht="16.5" customHeight="1">
      <c r="B32" s="657" t="s">
        <v>288</v>
      </c>
      <c r="C32" s="657"/>
      <c r="D32" s="657"/>
      <c r="E32" s="124"/>
      <c r="F32" s="124"/>
      <c r="G32" s="124"/>
      <c r="H32" s="124"/>
      <c r="I32" s="124"/>
      <c r="J32" s="124"/>
      <c r="K32" s="656" t="s">
        <v>352</v>
      </c>
      <c r="L32" s="656"/>
      <c r="M32" s="656"/>
      <c r="N32" s="656"/>
      <c r="O32" s="656"/>
      <c r="P32" s="656"/>
    </row>
    <row r="33" ht="12.75" customHeight="1"/>
    <row r="34" spans="2:5" ht="15.75">
      <c r="B34" s="125"/>
      <c r="C34" s="125"/>
      <c r="D34" s="125"/>
      <c r="E34" s="125"/>
    </row>
    <row r="35" ht="15.75" hidden="1"/>
    <row r="36" spans="2:16" ht="15.75">
      <c r="B36" s="652" t="s">
        <v>241</v>
      </c>
      <c r="C36" s="652"/>
      <c r="D36" s="652"/>
      <c r="E36" s="652"/>
      <c r="F36" s="126"/>
      <c r="G36" s="126"/>
      <c r="H36" s="126"/>
      <c r="I36" s="126"/>
      <c r="K36" s="653" t="s">
        <v>242</v>
      </c>
      <c r="L36" s="653"/>
      <c r="M36" s="653"/>
      <c r="N36" s="653"/>
      <c r="O36" s="653"/>
      <c r="P36" s="653"/>
    </row>
    <row r="39" ht="15.75">
      <c r="A39" s="128" t="s">
        <v>41</v>
      </c>
    </row>
    <row r="40" spans="1:6" ht="15.75">
      <c r="A40" s="129"/>
      <c r="B40" s="130" t="s">
        <v>48</v>
      </c>
      <c r="C40" s="130"/>
      <c r="D40" s="130"/>
      <c r="E40" s="130"/>
      <c r="F40" s="130"/>
    </row>
    <row r="41" spans="1:14" ht="15.75" customHeight="1">
      <c r="A41" s="131" t="s">
        <v>25</v>
      </c>
      <c r="B41" s="651" t="s">
        <v>51</v>
      </c>
      <c r="C41" s="651"/>
      <c r="D41" s="651"/>
      <c r="E41" s="651"/>
      <c r="F41" s="651"/>
      <c r="G41" s="131"/>
      <c r="H41" s="131"/>
      <c r="I41" s="131"/>
      <c r="J41" s="131"/>
      <c r="K41" s="131"/>
      <c r="L41" s="131"/>
      <c r="M41" s="131"/>
      <c r="N41" s="131"/>
    </row>
    <row r="42" spans="1:14" ht="15" customHeight="1">
      <c r="A42" s="131"/>
      <c r="B42" s="650" t="s">
        <v>52</v>
      </c>
      <c r="C42" s="650"/>
      <c r="D42" s="650"/>
      <c r="E42" s="650"/>
      <c r="F42" s="650"/>
      <c r="G42" s="650"/>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96" t="s">
        <v>97</v>
      </c>
      <c r="B1" s="596"/>
      <c r="C1" s="596"/>
      <c r="D1" s="661" t="s">
        <v>353</v>
      </c>
      <c r="E1" s="661"/>
      <c r="F1" s="661"/>
      <c r="G1" s="661"/>
      <c r="H1" s="661"/>
      <c r="I1" s="661"/>
      <c r="J1" s="665" t="s">
        <v>354</v>
      </c>
      <c r="K1" s="666"/>
      <c r="L1" s="666"/>
    </row>
    <row r="2" spans="1:13" ht="15.75" customHeight="1">
      <c r="A2" s="667" t="s">
        <v>299</v>
      </c>
      <c r="B2" s="667"/>
      <c r="C2" s="667"/>
      <c r="D2" s="661"/>
      <c r="E2" s="661"/>
      <c r="F2" s="661"/>
      <c r="G2" s="661"/>
      <c r="H2" s="661"/>
      <c r="I2" s="661"/>
      <c r="J2" s="666" t="s">
        <v>300</v>
      </c>
      <c r="K2" s="666"/>
      <c r="L2" s="666"/>
      <c r="M2" s="133"/>
    </row>
    <row r="3" spans="1:13" ht="15.75" customHeight="1">
      <c r="A3" s="598" t="s">
        <v>251</v>
      </c>
      <c r="B3" s="598"/>
      <c r="C3" s="598"/>
      <c r="D3" s="661"/>
      <c r="E3" s="661"/>
      <c r="F3" s="661"/>
      <c r="G3" s="661"/>
      <c r="H3" s="661"/>
      <c r="I3" s="661"/>
      <c r="J3" s="665" t="s">
        <v>355</v>
      </c>
      <c r="K3" s="665"/>
      <c r="L3" s="665"/>
      <c r="M3" s="37"/>
    </row>
    <row r="4" spans="1:13" ht="15.75" customHeight="1">
      <c r="A4" s="664" t="s">
        <v>253</v>
      </c>
      <c r="B4" s="664"/>
      <c r="C4" s="664"/>
      <c r="D4" s="663"/>
      <c r="E4" s="663"/>
      <c r="F4" s="663"/>
      <c r="G4" s="663"/>
      <c r="H4" s="663"/>
      <c r="I4" s="663"/>
      <c r="J4" s="666" t="s">
        <v>301</v>
      </c>
      <c r="K4" s="666"/>
      <c r="L4" s="666"/>
      <c r="M4" s="133"/>
    </row>
    <row r="5" spans="1:13" ht="15.75">
      <c r="A5" s="134"/>
      <c r="B5" s="134"/>
      <c r="C5" s="34"/>
      <c r="D5" s="34"/>
      <c r="E5" s="34"/>
      <c r="F5" s="34"/>
      <c r="G5" s="34"/>
      <c r="H5" s="34"/>
      <c r="I5" s="34"/>
      <c r="J5" s="662" t="s">
        <v>8</v>
      </c>
      <c r="K5" s="662"/>
      <c r="L5" s="662"/>
      <c r="M5" s="133"/>
    </row>
    <row r="6" spans="1:14" ht="15.75">
      <c r="A6" s="670" t="s">
        <v>55</v>
      </c>
      <c r="B6" s="671"/>
      <c r="C6" s="620" t="s">
        <v>302</v>
      </c>
      <c r="D6" s="660" t="s">
        <v>303</v>
      </c>
      <c r="E6" s="660"/>
      <c r="F6" s="660"/>
      <c r="G6" s="660"/>
      <c r="H6" s="660"/>
      <c r="I6" s="660"/>
      <c r="J6" s="586" t="s">
        <v>95</v>
      </c>
      <c r="K6" s="586"/>
      <c r="L6" s="586"/>
      <c r="M6" s="658" t="s">
        <v>304</v>
      </c>
      <c r="N6" s="659" t="s">
        <v>305</v>
      </c>
    </row>
    <row r="7" spans="1:14" ht="15.75" customHeight="1">
      <c r="A7" s="672"/>
      <c r="B7" s="673"/>
      <c r="C7" s="620"/>
      <c r="D7" s="660" t="s">
        <v>7</v>
      </c>
      <c r="E7" s="660"/>
      <c r="F7" s="660"/>
      <c r="G7" s="660"/>
      <c r="H7" s="660"/>
      <c r="I7" s="660"/>
      <c r="J7" s="586"/>
      <c r="K7" s="586"/>
      <c r="L7" s="586"/>
      <c r="M7" s="658"/>
      <c r="N7" s="659"/>
    </row>
    <row r="8" spans="1:14" s="73" customFormat="1" ht="31.5" customHeight="1">
      <c r="A8" s="672"/>
      <c r="B8" s="673"/>
      <c r="C8" s="620"/>
      <c r="D8" s="586" t="s">
        <v>93</v>
      </c>
      <c r="E8" s="586" t="s">
        <v>94</v>
      </c>
      <c r="F8" s="586"/>
      <c r="G8" s="586"/>
      <c r="H8" s="586"/>
      <c r="I8" s="586"/>
      <c r="J8" s="586"/>
      <c r="K8" s="586"/>
      <c r="L8" s="586"/>
      <c r="M8" s="658"/>
      <c r="N8" s="659"/>
    </row>
    <row r="9" spans="1:14" s="73" customFormat="1" ht="15.75" customHeight="1">
      <c r="A9" s="672"/>
      <c r="B9" s="673"/>
      <c r="C9" s="620"/>
      <c r="D9" s="586"/>
      <c r="E9" s="586" t="s">
        <v>96</v>
      </c>
      <c r="F9" s="586" t="s">
        <v>7</v>
      </c>
      <c r="G9" s="586"/>
      <c r="H9" s="586"/>
      <c r="I9" s="586"/>
      <c r="J9" s="586" t="s">
        <v>7</v>
      </c>
      <c r="K9" s="586"/>
      <c r="L9" s="586"/>
      <c r="M9" s="658"/>
      <c r="N9" s="659"/>
    </row>
    <row r="10" spans="1:14" s="73" customFormat="1" ht="86.25" customHeight="1">
      <c r="A10" s="674"/>
      <c r="B10" s="675"/>
      <c r="C10" s="620"/>
      <c r="D10" s="586"/>
      <c r="E10" s="586"/>
      <c r="F10" s="104" t="s">
        <v>22</v>
      </c>
      <c r="G10" s="104" t="s">
        <v>24</v>
      </c>
      <c r="H10" s="104" t="s">
        <v>16</v>
      </c>
      <c r="I10" s="104" t="s">
        <v>23</v>
      </c>
      <c r="J10" s="104" t="s">
        <v>15</v>
      </c>
      <c r="K10" s="104" t="s">
        <v>20</v>
      </c>
      <c r="L10" s="104" t="s">
        <v>21</v>
      </c>
      <c r="M10" s="658"/>
      <c r="N10" s="659"/>
    </row>
    <row r="11" spans="1:32" ht="13.5" customHeight="1">
      <c r="A11" s="684" t="s">
        <v>5</v>
      </c>
      <c r="B11" s="685"/>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678" t="s">
        <v>296</v>
      </c>
      <c r="B12" s="679"/>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6" t="s">
        <v>252</v>
      </c>
      <c r="B13" s="677"/>
      <c r="C13" s="139">
        <v>59</v>
      </c>
      <c r="D13" s="139">
        <v>43</v>
      </c>
      <c r="E13" s="139">
        <v>0</v>
      </c>
      <c r="F13" s="139">
        <v>5</v>
      </c>
      <c r="G13" s="139">
        <v>2</v>
      </c>
      <c r="H13" s="139">
        <v>7</v>
      </c>
      <c r="I13" s="139">
        <v>2</v>
      </c>
      <c r="J13" s="139">
        <v>10</v>
      </c>
      <c r="K13" s="139">
        <v>44</v>
      </c>
      <c r="L13" s="139">
        <v>5</v>
      </c>
      <c r="M13" s="136"/>
      <c r="N13" s="137"/>
    </row>
    <row r="14" spans="1:37" s="52" customFormat="1" ht="16.5" customHeight="1">
      <c r="A14" s="682" t="s">
        <v>30</v>
      </c>
      <c r="B14" s="683"/>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04" t="s">
        <v>356</v>
      </c>
      <c r="B29" s="686"/>
      <c r="C29" s="686"/>
      <c r="D29" s="686"/>
      <c r="E29" s="158"/>
      <c r="F29" s="158"/>
      <c r="G29" s="158"/>
      <c r="H29" s="668" t="s">
        <v>306</v>
      </c>
      <c r="I29" s="668"/>
      <c r="J29" s="668"/>
      <c r="K29" s="668"/>
      <c r="L29" s="668"/>
      <c r="M29" s="159"/>
    </row>
    <row r="30" spans="1:12" ht="18.75">
      <c r="A30" s="686"/>
      <c r="B30" s="686"/>
      <c r="C30" s="686"/>
      <c r="D30" s="686"/>
      <c r="E30" s="158"/>
      <c r="F30" s="158"/>
      <c r="G30" s="158"/>
      <c r="H30" s="669" t="s">
        <v>307</v>
      </c>
      <c r="I30" s="669"/>
      <c r="J30" s="669"/>
      <c r="K30" s="669"/>
      <c r="L30" s="669"/>
    </row>
    <row r="31" spans="1:12" s="32" customFormat="1" ht="16.5" customHeight="1">
      <c r="A31" s="577"/>
      <c r="B31" s="577"/>
      <c r="C31" s="577"/>
      <c r="D31" s="577"/>
      <c r="E31" s="160"/>
      <c r="F31" s="160"/>
      <c r="G31" s="160"/>
      <c r="H31" s="578"/>
      <c r="I31" s="578"/>
      <c r="J31" s="578"/>
      <c r="K31" s="578"/>
      <c r="L31" s="578"/>
    </row>
    <row r="32" spans="1:12" ht="18.75">
      <c r="A32" s="89"/>
      <c r="B32" s="577" t="s">
        <v>288</v>
      </c>
      <c r="C32" s="577"/>
      <c r="D32" s="577"/>
      <c r="E32" s="160"/>
      <c r="F32" s="160"/>
      <c r="G32" s="160"/>
      <c r="H32" s="160"/>
      <c r="I32" s="687" t="s">
        <v>288</v>
      </c>
      <c r="J32" s="687"/>
      <c r="K32" s="68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07" t="s">
        <v>241</v>
      </c>
      <c r="B37" s="607"/>
      <c r="C37" s="607"/>
      <c r="D37" s="607"/>
      <c r="E37" s="91"/>
      <c r="F37" s="91"/>
      <c r="G37" s="91"/>
      <c r="H37" s="608" t="s">
        <v>241</v>
      </c>
      <c r="I37" s="608"/>
      <c r="J37" s="608"/>
      <c r="K37" s="608"/>
      <c r="L37" s="608"/>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1" t="s">
        <v>48</v>
      </c>
      <c r="C40" s="681"/>
      <c r="D40" s="681"/>
      <c r="E40" s="681"/>
      <c r="F40" s="681"/>
      <c r="G40" s="681"/>
      <c r="H40" s="681"/>
      <c r="I40" s="681"/>
      <c r="J40" s="681"/>
      <c r="K40" s="681"/>
      <c r="L40" s="681"/>
    </row>
    <row r="41" spans="1:12" ht="16.5" customHeight="1">
      <c r="A41" s="165"/>
      <c r="B41" s="680" t="s">
        <v>50</v>
      </c>
      <c r="C41" s="680"/>
      <c r="D41" s="680"/>
      <c r="E41" s="680"/>
      <c r="F41" s="680"/>
      <c r="G41" s="680"/>
      <c r="H41" s="680"/>
      <c r="I41" s="680"/>
      <c r="J41" s="680"/>
      <c r="K41" s="680"/>
      <c r="L41" s="680"/>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04" t="s">
        <v>129</v>
      </c>
      <c r="B1" s="704"/>
      <c r="C1" s="704"/>
      <c r="D1" s="699" t="s">
        <v>310</v>
      </c>
      <c r="E1" s="700"/>
      <c r="F1" s="700"/>
      <c r="G1" s="700"/>
      <c r="H1" s="700"/>
      <c r="I1" s="700"/>
      <c r="J1" s="700"/>
      <c r="K1" s="700"/>
      <c r="L1" s="700"/>
      <c r="M1" s="700"/>
      <c r="N1" s="700"/>
      <c r="O1" s="212"/>
      <c r="P1" s="169" t="s">
        <v>360</v>
      </c>
      <c r="Q1" s="168"/>
      <c r="R1" s="168"/>
      <c r="S1" s="168"/>
      <c r="T1" s="168"/>
      <c r="U1" s="212"/>
    </row>
    <row r="2" spans="1:21" ht="16.5" customHeight="1">
      <c r="A2" s="701" t="s">
        <v>311</v>
      </c>
      <c r="B2" s="701"/>
      <c r="C2" s="701"/>
      <c r="D2" s="700"/>
      <c r="E2" s="700"/>
      <c r="F2" s="700"/>
      <c r="G2" s="700"/>
      <c r="H2" s="700"/>
      <c r="I2" s="700"/>
      <c r="J2" s="700"/>
      <c r="K2" s="700"/>
      <c r="L2" s="700"/>
      <c r="M2" s="700"/>
      <c r="N2" s="700"/>
      <c r="O2" s="213"/>
      <c r="P2" s="692" t="s">
        <v>312</v>
      </c>
      <c r="Q2" s="692"/>
      <c r="R2" s="692"/>
      <c r="S2" s="692"/>
      <c r="T2" s="692"/>
      <c r="U2" s="213"/>
    </row>
    <row r="3" spans="1:21" ht="16.5" customHeight="1">
      <c r="A3" s="720" t="s">
        <v>313</v>
      </c>
      <c r="B3" s="720"/>
      <c r="C3" s="720"/>
      <c r="D3" s="705" t="s">
        <v>314</v>
      </c>
      <c r="E3" s="705"/>
      <c r="F3" s="705"/>
      <c r="G3" s="705"/>
      <c r="H3" s="705"/>
      <c r="I3" s="705"/>
      <c r="J3" s="705"/>
      <c r="K3" s="705"/>
      <c r="L3" s="705"/>
      <c r="M3" s="705"/>
      <c r="N3" s="705"/>
      <c r="O3" s="213"/>
      <c r="P3" s="173" t="s">
        <v>359</v>
      </c>
      <c r="Q3" s="213"/>
      <c r="R3" s="213"/>
      <c r="S3" s="213"/>
      <c r="T3" s="213"/>
      <c r="U3" s="213"/>
    </row>
    <row r="4" spans="1:21" ht="16.5" customHeight="1">
      <c r="A4" s="706" t="s">
        <v>253</v>
      </c>
      <c r="B4" s="706"/>
      <c r="C4" s="706"/>
      <c r="D4" s="727"/>
      <c r="E4" s="727"/>
      <c r="F4" s="727"/>
      <c r="G4" s="727"/>
      <c r="H4" s="727"/>
      <c r="I4" s="727"/>
      <c r="J4" s="727"/>
      <c r="K4" s="727"/>
      <c r="L4" s="727"/>
      <c r="M4" s="727"/>
      <c r="N4" s="727"/>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693" t="s">
        <v>55</v>
      </c>
      <c r="B6" s="694"/>
      <c r="C6" s="688" t="s">
        <v>130</v>
      </c>
      <c r="D6" s="702" t="s">
        <v>131</v>
      </c>
      <c r="E6" s="703"/>
      <c r="F6" s="703"/>
      <c r="G6" s="703"/>
      <c r="H6" s="703"/>
      <c r="I6" s="703"/>
      <c r="J6" s="703"/>
      <c r="K6" s="703"/>
      <c r="L6" s="703"/>
      <c r="M6" s="703"/>
      <c r="N6" s="703"/>
      <c r="O6" s="703"/>
      <c r="P6" s="703"/>
      <c r="Q6" s="703"/>
      <c r="R6" s="703"/>
      <c r="S6" s="703"/>
      <c r="T6" s="688" t="s">
        <v>132</v>
      </c>
      <c r="U6" s="216"/>
    </row>
    <row r="7" spans="1:20" s="218" customFormat="1" ht="12.75" customHeight="1">
      <c r="A7" s="695"/>
      <c r="B7" s="696"/>
      <c r="C7" s="688"/>
      <c r="D7" s="724" t="s">
        <v>127</v>
      </c>
      <c r="E7" s="703" t="s">
        <v>7</v>
      </c>
      <c r="F7" s="703"/>
      <c r="G7" s="703"/>
      <c r="H7" s="703"/>
      <c r="I7" s="703"/>
      <c r="J7" s="703"/>
      <c r="K7" s="703"/>
      <c r="L7" s="703"/>
      <c r="M7" s="703"/>
      <c r="N7" s="703"/>
      <c r="O7" s="703"/>
      <c r="P7" s="703"/>
      <c r="Q7" s="703"/>
      <c r="R7" s="703"/>
      <c r="S7" s="703"/>
      <c r="T7" s="688"/>
    </row>
    <row r="8" spans="1:21" s="218" customFormat="1" ht="43.5" customHeight="1">
      <c r="A8" s="695"/>
      <c r="B8" s="696"/>
      <c r="C8" s="688"/>
      <c r="D8" s="725"/>
      <c r="E8" s="691" t="s">
        <v>133</v>
      </c>
      <c r="F8" s="688"/>
      <c r="G8" s="688"/>
      <c r="H8" s="688" t="s">
        <v>134</v>
      </c>
      <c r="I8" s="688"/>
      <c r="J8" s="688"/>
      <c r="K8" s="688" t="s">
        <v>135</v>
      </c>
      <c r="L8" s="688"/>
      <c r="M8" s="688" t="s">
        <v>136</v>
      </c>
      <c r="N8" s="688"/>
      <c r="O8" s="688"/>
      <c r="P8" s="688" t="s">
        <v>137</v>
      </c>
      <c r="Q8" s="688" t="s">
        <v>138</v>
      </c>
      <c r="R8" s="688" t="s">
        <v>139</v>
      </c>
      <c r="S8" s="707" t="s">
        <v>140</v>
      </c>
      <c r="T8" s="688"/>
      <c r="U8" s="717" t="s">
        <v>316</v>
      </c>
    </row>
    <row r="9" spans="1:21" s="218" customFormat="1" ht="44.25" customHeight="1">
      <c r="A9" s="697"/>
      <c r="B9" s="698"/>
      <c r="C9" s="688"/>
      <c r="D9" s="726"/>
      <c r="E9" s="219" t="s">
        <v>141</v>
      </c>
      <c r="F9" s="215" t="s">
        <v>142</v>
      </c>
      <c r="G9" s="215" t="s">
        <v>317</v>
      </c>
      <c r="H9" s="215" t="s">
        <v>143</v>
      </c>
      <c r="I9" s="215" t="s">
        <v>144</v>
      </c>
      <c r="J9" s="215" t="s">
        <v>145</v>
      </c>
      <c r="K9" s="215" t="s">
        <v>142</v>
      </c>
      <c r="L9" s="215" t="s">
        <v>146</v>
      </c>
      <c r="M9" s="215" t="s">
        <v>147</v>
      </c>
      <c r="N9" s="215" t="s">
        <v>148</v>
      </c>
      <c r="O9" s="215" t="s">
        <v>318</v>
      </c>
      <c r="P9" s="688"/>
      <c r="Q9" s="688"/>
      <c r="R9" s="688"/>
      <c r="S9" s="707"/>
      <c r="T9" s="688"/>
      <c r="U9" s="718"/>
    </row>
    <row r="10" spans="1:21" s="222" customFormat="1" ht="15.75" customHeight="1">
      <c r="A10" s="721" t="s">
        <v>6</v>
      </c>
      <c r="B10" s="72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18"/>
    </row>
    <row r="11" spans="1:21" s="222" customFormat="1" ht="15.75" customHeight="1">
      <c r="A11" s="689" t="s">
        <v>296</v>
      </c>
      <c r="B11" s="69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19"/>
    </row>
    <row r="12" spans="1:21" s="222" customFormat="1" ht="15.75" customHeight="1">
      <c r="A12" s="708" t="s">
        <v>297</v>
      </c>
      <c r="B12" s="70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4" t="s">
        <v>30</v>
      </c>
      <c r="B13" s="71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23" t="s">
        <v>284</v>
      </c>
      <c r="C28" s="723"/>
      <c r="D28" s="723"/>
      <c r="E28" s="723"/>
      <c r="F28" s="181"/>
      <c r="G28" s="181"/>
      <c r="H28" s="181"/>
      <c r="I28" s="181"/>
      <c r="J28" s="181"/>
      <c r="K28" s="181" t="s">
        <v>149</v>
      </c>
      <c r="L28" s="182"/>
      <c r="M28" s="728" t="s">
        <v>319</v>
      </c>
      <c r="N28" s="728"/>
      <c r="O28" s="728"/>
      <c r="P28" s="728"/>
      <c r="Q28" s="728"/>
      <c r="R28" s="728"/>
      <c r="S28" s="728"/>
      <c r="T28" s="728"/>
    </row>
    <row r="29" spans="1:20" s="233" customFormat="1" ht="18.75" customHeight="1">
      <c r="A29" s="232"/>
      <c r="B29" s="713" t="s">
        <v>150</v>
      </c>
      <c r="C29" s="713"/>
      <c r="D29" s="713"/>
      <c r="E29" s="234"/>
      <c r="F29" s="183"/>
      <c r="G29" s="183"/>
      <c r="H29" s="183"/>
      <c r="I29" s="183"/>
      <c r="J29" s="183"/>
      <c r="K29" s="183"/>
      <c r="L29" s="182"/>
      <c r="M29" s="716" t="s">
        <v>308</v>
      </c>
      <c r="N29" s="716"/>
      <c r="O29" s="716"/>
      <c r="P29" s="716"/>
      <c r="Q29" s="716"/>
      <c r="R29" s="716"/>
      <c r="S29" s="716"/>
      <c r="T29" s="716"/>
    </row>
    <row r="30" spans="1:20" s="233" customFormat="1" ht="18.75">
      <c r="A30" s="184"/>
      <c r="B30" s="710"/>
      <c r="C30" s="710"/>
      <c r="D30" s="710"/>
      <c r="E30" s="186"/>
      <c r="F30" s="186"/>
      <c r="G30" s="186"/>
      <c r="H30" s="186"/>
      <c r="I30" s="186"/>
      <c r="J30" s="186"/>
      <c r="K30" s="186"/>
      <c r="L30" s="186"/>
      <c r="M30" s="711"/>
      <c r="N30" s="711"/>
      <c r="O30" s="711"/>
      <c r="P30" s="711"/>
      <c r="Q30" s="711"/>
      <c r="R30" s="711"/>
      <c r="S30" s="711"/>
      <c r="T30" s="71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153</v>
      </c>
      <c r="C34" s="186"/>
      <c r="D34" s="186"/>
      <c r="E34" s="186"/>
      <c r="F34" s="186"/>
      <c r="G34" s="186"/>
      <c r="H34" s="186"/>
      <c r="I34" s="186"/>
      <c r="J34" s="186"/>
      <c r="K34" s="186"/>
      <c r="L34" s="186"/>
      <c r="M34" s="186"/>
      <c r="N34" s="186"/>
      <c r="O34" s="186"/>
      <c r="P34" s="186"/>
      <c r="Q34" s="186"/>
      <c r="R34" s="186"/>
      <c r="S34" s="186"/>
      <c r="T34" s="186"/>
    </row>
    <row r="35" spans="2:20" ht="18.75"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75">
      <c r="B36" s="712" t="s">
        <v>288</v>
      </c>
      <c r="C36" s="712"/>
      <c r="D36" s="712"/>
      <c r="E36" s="236"/>
      <c r="F36" s="236"/>
      <c r="G36" s="236"/>
      <c r="H36" s="236"/>
      <c r="I36" s="236"/>
      <c r="J36" s="236"/>
      <c r="K36" s="236"/>
      <c r="L36" s="236"/>
      <c r="M36" s="236"/>
      <c r="N36" s="712" t="s">
        <v>288</v>
      </c>
      <c r="O36" s="712"/>
      <c r="P36" s="712"/>
      <c r="Q36" s="712"/>
      <c r="R36" s="712"/>
      <c r="S36" s="71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07" t="s">
        <v>241</v>
      </c>
      <c r="C38" s="607"/>
      <c r="D38" s="607"/>
      <c r="E38" s="210"/>
      <c r="F38" s="210"/>
      <c r="G38" s="210"/>
      <c r="H38" s="210"/>
      <c r="I38" s="182"/>
      <c r="J38" s="182"/>
      <c r="K38" s="182"/>
      <c r="L38" s="182"/>
      <c r="M38" s="608" t="s">
        <v>242</v>
      </c>
      <c r="N38" s="608"/>
      <c r="O38" s="608"/>
      <c r="P38" s="608"/>
      <c r="Q38" s="608"/>
      <c r="R38" s="608"/>
      <c r="S38" s="608"/>
      <c r="T38" s="608"/>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36" t="s">
        <v>155</v>
      </c>
      <c r="B1" s="736"/>
      <c r="C1" s="736"/>
      <c r="D1" s="238"/>
      <c r="E1" s="741" t="s">
        <v>156</v>
      </c>
      <c r="F1" s="741"/>
      <c r="G1" s="741"/>
      <c r="H1" s="741"/>
      <c r="I1" s="741"/>
      <c r="J1" s="741"/>
      <c r="K1" s="741"/>
      <c r="L1" s="741"/>
      <c r="M1" s="741"/>
      <c r="N1" s="741"/>
      <c r="O1" s="191"/>
      <c r="P1" s="731" t="s">
        <v>358</v>
      </c>
      <c r="Q1" s="731"/>
      <c r="R1" s="731"/>
      <c r="S1" s="731"/>
      <c r="T1" s="731"/>
    </row>
    <row r="2" spans="1:20" ht="15.75" customHeight="1">
      <c r="A2" s="737" t="s">
        <v>320</v>
      </c>
      <c r="B2" s="737"/>
      <c r="C2" s="737"/>
      <c r="D2" s="737"/>
      <c r="E2" s="739" t="s">
        <v>157</v>
      </c>
      <c r="F2" s="739"/>
      <c r="G2" s="739"/>
      <c r="H2" s="739"/>
      <c r="I2" s="739"/>
      <c r="J2" s="739"/>
      <c r="K2" s="739"/>
      <c r="L2" s="739"/>
      <c r="M2" s="739"/>
      <c r="N2" s="739"/>
      <c r="O2" s="194"/>
      <c r="P2" s="732" t="s">
        <v>300</v>
      </c>
      <c r="Q2" s="732"/>
      <c r="R2" s="732"/>
      <c r="S2" s="732"/>
      <c r="T2" s="732"/>
    </row>
    <row r="3" spans="1:20" ht="17.25">
      <c r="A3" s="737" t="s">
        <v>251</v>
      </c>
      <c r="B3" s="737"/>
      <c r="C3" s="737"/>
      <c r="D3" s="239"/>
      <c r="E3" s="742" t="s">
        <v>252</v>
      </c>
      <c r="F3" s="742"/>
      <c r="G3" s="742"/>
      <c r="H3" s="742"/>
      <c r="I3" s="742"/>
      <c r="J3" s="742"/>
      <c r="K3" s="742"/>
      <c r="L3" s="742"/>
      <c r="M3" s="742"/>
      <c r="N3" s="742"/>
      <c r="O3" s="194"/>
      <c r="P3" s="733" t="s">
        <v>359</v>
      </c>
      <c r="Q3" s="733"/>
      <c r="R3" s="733"/>
      <c r="S3" s="733"/>
      <c r="T3" s="733"/>
    </row>
    <row r="4" spans="1:20" ht="18.75" customHeight="1">
      <c r="A4" s="738" t="s">
        <v>253</v>
      </c>
      <c r="B4" s="738"/>
      <c r="C4" s="738"/>
      <c r="D4" s="740"/>
      <c r="E4" s="740"/>
      <c r="F4" s="740"/>
      <c r="G4" s="740"/>
      <c r="H4" s="740"/>
      <c r="I4" s="740"/>
      <c r="J4" s="740"/>
      <c r="K4" s="740"/>
      <c r="L4" s="740"/>
      <c r="M4" s="740"/>
      <c r="N4" s="740"/>
      <c r="O4" s="195"/>
      <c r="P4" s="732" t="s">
        <v>292</v>
      </c>
      <c r="Q4" s="733"/>
      <c r="R4" s="733"/>
      <c r="S4" s="733"/>
      <c r="T4" s="733"/>
    </row>
    <row r="5" spans="1:23" ht="15">
      <c r="A5" s="208"/>
      <c r="B5" s="208"/>
      <c r="C5" s="240"/>
      <c r="D5" s="240"/>
      <c r="E5" s="208"/>
      <c r="F5" s="208"/>
      <c r="G5" s="208"/>
      <c r="H5" s="208"/>
      <c r="I5" s="208"/>
      <c r="J5" s="208"/>
      <c r="K5" s="208"/>
      <c r="L5" s="208"/>
      <c r="P5" s="752" t="s">
        <v>315</v>
      </c>
      <c r="Q5" s="752"/>
      <c r="R5" s="752"/>
      <c r="S5" s="752"/>
      <c r="T5" s="752"/>
      <c r="U5" s="241"/>
      <c r="V5" s="241"/>
      <c r="W5" s="241"/>
    </row>
    <row r="6" spans="1:23" ht="29.25" customHeight="1">
      <c r="A6" s="693" t="s">
        <v>55</v>
      </c>
      <c r="B6" s="769"/>
      <c r="C6" s="764" t="s">
        <v>2</v>
      </c>
      <c r="D6" s="753" t="s">
        <v>158</v>
      </c>
      <c r="E6" s="754"/>
      <c r="F6" s="754"/>
      <c r="G6" s="754"/>
      <c r="H6" s="754"/>
      <c r="I6" s="754"/>
      <c r="J6" s="755"/>
      <c r="K6" s="758" t="s">
        <v>159</v>
      </c>
      <c r="L6" s="759"/>
      <c r="M6" s="759"/>
      <c r="N6" s="759"/>
      <c r="O6" s="759"/>
      <c r="P6" s="759"/>
      <c r="Q6" s="759"/>
      <c r="R6" s="759"/>
      <c r="S6" s="759"/>
      <c r="T6" s="760"/>
      <c r="U6" s="242"/>
      <c r="V6" s="243"/>
      <c r="W6" s="243"/>
    </row>
    <row r="7" spans="1:20" ht="19.5" customHeight="1">
      <c r="A7" s="695"/>
      <c r="B7" s="770"/>
      <c r="C7" s="765"/>
      <c r="D7" s="754" t="s">
        <v>7</v>
      </c>
      <c r="E7" s="754"/>
      <c r="F7" s="754"/>
      <c r="G7" s="754"/>
      <c r="H7" s="754"/>
      <c r="I7" s="754"/>
      <c r="J7" s="755"/>
      <c r="K7" s="761"/>
      <c r="L7" s="762"/>
      <c r="M7" s="762"/>
      <c r="N7" s="762"/>
      <c r="O7" s="762"/>
      <c r="P7" s="762"/>
      <c r="Q7" s="762"/>
      <c r="R7" s="762"/>
      <c r="S7" s="762"/>
      <c r="T7" s="763"/>
    </row>
    <row r="8" spans="1:20" ht="33" customHeight="1">
      <c r="A8" s="695"/>
      <c r="B8" s="770"/>
      <c r="C8" s="765"/>
      <c r="D8" s="745" t="s">
        <v>160</v>
      </c>
      <c r="E8" s="746"/>
      <c r="F8" s="730" t="s">
        <v>161</v>
      </c>
      <c r="G8" s="746"/>
      <c r="H8" s="730" t="s">
        <v>162</v>
      </c>
      <c r="I8" s="746"/>
      <c r="J8" s="730" t="s">
        <v>163</v>
      </c>
      <c r="K8" s="729" t="s">
        <v>164</v>
      </c>
      <c r="L8" s="729"/>
      <c r="M8" s="729"/>
      <c r="N8" s="729" t="s">
        <v>165</v>
      </c>
      <c r="O8" s="729"/>
      <c r="P8" s="729"/>
      <c r="Q8" s="730" t="s">
        <v>166</v>
      </c>
      <c r="R8" s="734" t="s">
        <v>167</v>
      </c>
      <c r="S8" s="734" t="s">
        <v>168</v>
      </c>
      <c r="T8" s="730" t="s">
        <v>169</v>
      </c>
    </row>
    <row r="9" spans="1:20" ht="18.75" customHeight="1">
      <c r="A9" s="695"/>
      <c r="B9" s="770"/>
      <c r="C9" s="765"/>
      <c r="D9" s="745" t="s">
        <v>170</v>
      </c>
      <c r="E9" s="730" t="s">
        <v>171</v>
      </c>
      <c r="F9" s="730" t="s">
        <v>170</v>
      </c>
      <c r="G9" s="730" t="s">
        <v>171</v>
      </c>
      <c r="H9" s="730" t="s">
        <v>170</v>
      </c>
      <c r="I9" s="730" t="s">
        <v>172</v>
      </c>
      <c r="J9" s="730"/>
      <c r="K9" s="729"/>
      <c r="L9" s="729"/>
      <c r="M9" s="729"/>
      <c r="N9" s="729"/>
      <c r="O9" s="729"/>
      <c r="P9" s="729"/>
      <c r="Q9" s="730"/>
      <c r="R9" s="734"/>
      <c r="S9" s="734"/>
      <c r="T9" s="730"/>
    </row>
    <row r="10" spans="1:20" ht="23.25" customHeight="1">
      <c r="A10" s="697"/>
      <c r="B10" s="771"/>
      <c r="C10" s="766"/>
      <c r="D10" s="745"/>
      <c r="E10" s="730"/>
      <c r="F10" s="730"/>
      <c r="G10" s="730"/>
      <c r="H10" s="730"/>
      <c r="I10" s="730"/>
      <c r="J10" s="730"/>
      <c r="K10" s="244" t="s">
        <v>173</v>
      </c>
      <c r="L10" s="244" t="s">
        <v>148</v>
      </c>
      <c r="M10" s="244" t="s">
        <v>174</v>
      </c>
      <c r="N10" s="244" t="s">
        <v>173</v>
      </c>
      <c r="O10" s="244" t="s">
        <v>175</v>
      </c>
      <c r="P10" s="244" t="s">
        <v>176</v>
      </c>
      <c r="Q10" s="730"/>
      <c r="R10" s="734"/>
      <c r="S10" s="734"/>
      <c r="T10" s="730"/>
    </row>
    <row r="11" spans="1:32" s="201" customFormat="1" ht="17.25" customHeight="1">
      <c r="A11" s="767" t="s">
        <v>6</v>
      </c>
      <c r="B11" s="768"/>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56" t="s">
        <v>321</v>
      </c>
      <c r="B12" s="757"/>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3" t="s">
        <v>297</v>
      </c>
      <c r="B13" s="74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51" t="s">
        <v>177</v>
      </c>
      <c r="B14" s="745"/>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748" t="s">
        <v>309</v>
      </c>
      <c r="C29" s="748"/>
      <c r="D29" s="748"/>
      <c r="E29" s="748"/>
      <c r="F29" s="258"/>
      <c r="G29" s="258"/>
      <c r="H29" s="258"/>
      <c r="I29" s="258"/>
      <c r="J29" s="258"/>
      <c r="K29" s="258"/>
      <c r="L29" s="206"/>
      <c r="M29" s="747" t="s">
        <v>322</v>
      </c>
      <c r="N29" s="747"/>
      <c r="O29" s="747"/>
      <c r="P29" s="747"/>
      <c r="Q29" s="747"/>
      <c r="R29" s="747"/>
      <c r="S29" s="747"/>
      <c r="T29" s="747"/>
    </row>
    <row r="30" spans="1:20" ht="18.75" customHeight="1">
      <c r="A30" s="202"/>
      <c r="B30" s="749" t="s">
        <v>150</v>
      </c>
      <c r="C30" s="749"/>
      <c r="D30" s="749"/>
      <c r="E30" s="749"/>
      <c r="F30" s="205"/>
      <c r="G30" s="205"/>
      <c r="H30" s="205"/>
      <c r="I30" s="205"/>
      <c r="J30" s="205"/>
      <c r="K30" s="205"/>
      <c r="L30" s="206"/>
      <c r="M30" s="750" t="s">
        <v>151</v>
      </c>
      <c r="N30" s="750"/>
      <c r="O30" s="750"/>
      <c r="P30" s="750"/>
      <c r="Q30" s="750"/>
      <c r="R30" s="750"/>
      <c r="S30" s="750"/>
      <c r="T30" s="750"/>
    </row>
    <row r="31" spans="1:20" ht="18.75">
      <c r="A31" s="208"/>
      <c r="B31" s="710"/>
      <c r="C31" s="710"/>
      <c r="D31" s="710"/>
      <c r="E31" s="710"/>
      <c r="F31" s="209"/>
      <c r="G31" s="209"/>
      <c r="H31" s="209"/>
      <c r="I31" s="209"/>
      <c r="J31" s="209"/>
      <c r="K31" s="209"/>
      <c r="L31" s="209"/>
      <c r="M31" s="711"/>
      <c r="N31" s="711"/>
      <c r="O31" s="711"/>
      <c r="P31" s="711"/>
      <c r="Q31" s="711"/>
      <c r="R31" s="711"/>
      <c r="S31" s="711"/>
      <c r="T31" s="71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5" t="s">
        <v>288</v>
      </c>
      <c r="C33" s="735"/>
      <c r="D33" s="735"/>
      <c r="E33" s="735"/>
      <c r="F33" s="735"/>
      <c r="G33" s="259"/>
      <c r="H33" s="259"/>
      <c r="I33" s="259"/>
      <c r="J33" s="259"/>
      <c r="K33" s="259"/>
      <c r="L33" s="259"/>
      <c r="M33" s="259"/>
      <c r="N33" s="735" t="s">
        <v>288</v>
      </c>
      <c r="O33" s="735"/>
      <c r="P33" s="735"/>
      <c r="Q33" s="735"/>
      <c r="R33" s="735"/>
      <c r="S33" s="73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07" t="s">
        <v>241</v>
      </c>
      <c r="C35" s="607"/>
      <c r="D35" s="607"/>
      <c r="E35" s="607"/>
      <c r="F35" s="210"/>
      <c r="G35" s="210"/>
      <c r="H35" s="210"/>
      <c r="I35" s="182"/>
      <c r="J35" s="182"/>
      <c r="K35" s="182"/>
      <c r="L35" s="182"/>
      <c r="M35" s="608" t="s">
        <v>242</v>
      </c>
      <c r="N35" s="608"/>
      <c r="O35" s="608"/>
      <c r="P35" s="608"/>
      <c r="Q35" s="608"/>
      <c r="R35" s="608"/>
      <c r="S35" s="608"/>
      <c r="T35" s="608"/>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126</v>
      </c>
    </row>
    <row r="39" spans="2:8" s="262" customFormat="1" ht="15" hidden="1">
      <c r="B39" s="263" t="s">
        <v>178</v>
      </c>
      <c r="C39" s="263"/>
      <c r="D39" s="263"/>
      <c r="E39" s="263"/>
      <c r="F39" s="263"/>
      <c r="G39" s="263"/>
      <c r="H39" s="263"/>
    </row>
    <row r="40" spans="2:8" s="264" customFormat="1" ht="1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8" t="s">
        <v>180</v>
      </c>
      <c r="B1" s="778"/>
      <c r="C1" s="778"/>
      <c r="D1" s="781" t="s">
        <v>361</v>
      </c>
      <c r="E1" s="781"/>
      <c r="F1" s="781"/>
      <c r="G1" s="781"/>
      <c r="H1" s="781"/>
      <c r="I1" s="781"/>
      <c r="J1" s="782" t="s">
        <v>362</v>
      </c>
      <c r="K1" s="783"/>
      <c r="L1" s="783"/>
    </row>
    <row r="2" spans="1:12" ht="34.5" customHeight="1">
      <c r="A2" s="784" t="s">
        <v>323</v>
      </c>
      <c r="B2" s="784"/>
      <c r="C2" s="784"/>
      <c r="D2" s="781"/>
      <c r="E2" s="781"/>
      <c r="F2" s="781"/>
      <c r="G2" s="781"/>
      <c r="H2" s="781"/>
      <c r="I2" s="781"/>
      <c r="J2" s="785" t="s">
        <v>363</v>
      </c>
      <c r="K2" s="786"/>
      <c r="L2" s="786"/>
    </row>
    <row r="3" spans="1:12" ht="15" customHeight="1">
      <c r="A3" s="265" t="s">
        <v>253</v>
      </c>
      <c r="B3" s="174"/>
      <c r="C3" s="787"/>
      <c r="D3" s="787"/>
      <c r="E3" s="787"/>
      <c r="F3" s="787"/>
      <c r="G3" s="787"/>
      <c r="H3" s="787"/>
      <c r="I3" s="787"/>
      <c r="J3" s="779"/>
      <c r="K3" s="780"/>
      <c r="L3" s="780"/>
    </row>
    <row r="4" spans="1:12" ht="15.75" customHeight="1">
      <c r="A4" s="266"/>
      <c r="B4" s="266"/>
      <c r="C4" s="267"/>
      <c r="D4" s="267"/>
      <c r="E4" s="170"/>
      <c r="F4" s="170"/>
      <c r="G4" s="170"/>
      <c r="H4" s="268"/>
      <c r="I4" s="268"/>
      <c r="J4" s="788" t="s">
        <v>181</v>
      </c>
      <c r="K4" s="788"/>
      <c r="L4" s="788"/>
    </row>
    <row r="5" spans="1:12" s="269" customFormat="1" ht="28.5" customHeight="1">
      <c r="A5" s="773" t="s">
        <v>55</v>
      </c>
      <c r="B5" s="773"/>
      <c r="C5" s="688" t="s">
        <v>31</v>
      </c>
      <c r="D5" s="688" t="s">
        <v>182</v>
      </c>
      <c r="E5" s="688"/>
      <c r="F5" s="688"/>
      <c r="G5" s="688"/>
      <c r="H5" s="688" t="s">
        <v>183</v>
      </c>
      <c r="I5" s="688"/>
      <c r="J5" s="688" t="s">
        <v>184</v>
      </c>
      <c r="K5" s="688"/>
      <c r="L5" s="688"/>
    </row>
    <row r="6" spans="1:13" s="269" customFormat="1" ht="80.25" customHeight="1">
      <c r="A6" s="773"/>
      <c r="B6" s="773"/>
      <c r="C6" s="688"/>
      <c r="D6" s="215" t="s">
        <v>185</v>
      </c>
      <c r="E6" s="215" t="s">
        <v>186</v>
      </c>
      <c r="F6" s="215" t="s">
        <v>324</v>
      </c>
      <c r="G6" s="215" t="s">
        <v>187</v>
      </c>
      <c r="H6" s="215" t="s">
        <v>188</v>
      </c>
      <c r="I6" s="215" t="s">
        <v>189</v>
      </c>
      <c r="J6" s="215" t="s">
        <v>190</v>
      </c>
      <c r="K6" s="215" t="s">
        <v>191</v>
      </c>
      <c r="L6" s="215" t="s">
        <v>192</v>
      </c>
      <c r="M6" s="270"/>
    </row>
    <row r="7" spans="1:12" s="271" customFormat="1" ht="16.5" customHeight="1">
      <c r="A7" s="789" t="s">
        <v>6</v>
      </c>
      <c r="B7" s="789"/>
      <c r="C7" s="221">
        <v>1</v>
      </c>
      <c r="D7" s="221">
        <v>2</v>
      </c>
      <c r="E7" s="221">
        <v>3</v>
      </c>
      <c r="F7" s="221">
        <v>4</v>
      </c>
      <c r="G7" s="221">
        <v>5</v>
      </c>
      <c r="H7" s="221">
        <v>6</v>
      </c>
      <c r="I7" s="221">
        <v>7</v>
      </c>
      <c r="J7" s="221">
        <v>8</v>
      </c>
      <c r="K7" s="221">
        <v>9</v>
      </c>
      <c r="L7" s="221">
        <v>10</v>
      </c>
    </row>
    <row r="8" spans="1:12" s="271" customFormat="1" ht="16.5" customHeight="1">
      <c r="A8" s="776" t="s">
        <v>321</v>
      </c>
      <c r="B8" s="777"/>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74" t="s">
        <v>297</v>
      </c>
      <c r="B9" s="775"/>
      <c r="C9" s="224">
        <v>9</v>
      </c>
      <c r="D9" s="224">
        <v>2</v>
      </c>
      <c r="E9" s="224">
        <v>2</v>
      </c>
      <c r="F9" s="224">
        <v>0</v>
      </c>
      <c r="G9" s="224">
        <v>5</v>
      </c>
      <c r="H9" s="224">
        <v>8</v>
      </c>
      <c r="I9" s="224">
        <v>0</v>
      </c>
      <c r="J9" s="224">
        <v>8</v>
      </c>
      <c r="K9" s="224">
        <v>1</v>
      </c>
      <c r="L9" s="224">
        <v>0</v>
      </c>
    </row>
    <row r="10" spans="1:12" s="271" customFormat="1" ht="16.5" customHeight="1">
      <c r="A10" s="790" t="s">
        <v>177</v>
      </c>
      <c r="B10" s="79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23" t="s">
        <v>326</v>
      </c>
      <c r="B25" s="723"/>
      <c r="C25" s="723"/>
      <c r="D25" s="723"/>
      <c r="E25" s="182"/>
      <c r="F25" s="728" t="s">
        <v>284</v>
      </c>
      <c r="G25" s="728"/>
      <c r="H25" s="728"/>
      <c r="I25" s="728"/>
      <c r="J25" s="728"/>
      <c r="K25" s="728"/>
      <c r="L25" s="728"/>
      <c r="AJ25" s="190" t="s">
        <v>282</v>
      </c>
    </row>
    <row r="26" spans="1:44" ht="15" customHeight="1">
      <c r="A26" s="713" t="s">
        <v>150</v>
      </c>
      <c r="B26" s="713"/>
      <c r="C26" s="713"/>
      <c r="D26" s="713"/>
      <c r="E26" s="183"/>
      <c r="F26" s="716" t="s">
        <v>151</v>
      </c>
      <c r="G26" s="716"/>
      <c r="H26" s="716"/>
      <c r="I26" s="716"/>
      <c r="J26" s="716"/>
      <c r="K26" s="716"/>
      <c r="L26" s="716"/>
      <c r="AR26" s="190"/>
    </row>
    <row r="27" spans="1:12" s="170" customFormat="1" ht="18.75">
      <c r="A27" s="710"/>
      <c r="B27" s="710"/>
      <c r="C27" s="710"/>
      <c r="D27" s="710"/>
      <c r="E27" s="182"/>
      <c r="F27" s="711"/>
      <c r="G27" s="711"/>
      <c r="H27" s="711"/>
      <c r="I27" s="711"/>
      <c r="J27" s="711"/>
      <c r="K27" s="711"/>
      <c r="L27" s="711"/>
    </row>
    <row r="28" spans="1:35" ht="18">
      <c r="A28" s="187"/>
      <c r="B28" s="187"/>
      <c r="C28" s="182"/>
      <c r="D28" s="182"/>
      <c r="E28" s="182"/>
      <c r="F28" s="182"/>
      <c r="G28" s="182"/>
      <c r="H28" s="182"/>
      <c r="I28" s="182"/>
      <c r="J28" s="182"/>
      <c r="K28" s="182"/>
      <c r="L28" s="182"/>
      <c r="AG28" s="233" t="s">
        <v>285</v>
      </c>
      <c r="AI28" s="190">
        <f>82/88</f>
        <v>0.9318181818181818</v>
      </c>
    </row>
    <row r="29" spans="1:12" ht="18">
      <c r="A29" s="187"/>
      <c r="B29" s="772" t="s">
        <v>288</v>
      </c>
      <c r="C29" s="772"/>
      <c r="D29" s="182"/>
      <c r="E29" s="182"/>
      <c r="F29" s="182"/>
      <c r="G29" s="182"/>
      <c r="H29" s="772" t="s">
        <v>288</v>
      </c>
      <c r="I29" s="772"/>
      <c r="J29" s="772"/>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194</v>
      </c>
      <c r="B32" s="185"/>
      <c r="C32" s="186"/>
      <c r="D32" s="186"/>
      <c r="E32" s="186"/>
      <c r="F32" s="186"/>
      <c r="G32" s="186"/>
      <c r="H32" s="186"/>
      <c r="I32" s="186"/>
      <c r="J32" s="186"/>
      <c r="K32" s="186"/>
      <c r="L32" s="186"/>
    </row>
    <row r="33" spans="1:12" s="211" customFormat="1" ht="18.75" hidden="1">
      <c r="A33" s="237"/>
      <c r="B33" s="279" t="s">
        <v>195</v>
      </c>
      <c r="C33" s="279"/>
      <c r="D33" s="279"/>
      <c r="E33" s="236"/>
      <c r="F33" s="236"/>
      <c r="G33" s="236"/>
      <c r="H33" s="236"/>
      <c r="I33" s="236"/>
      <c r="J33" s="236"/>
      <c r="K33" s="236"/>
      <c r="L33" s="236"/>
    </row>
    <row r="34" spans="1:12" s="211" customFormat="1" ht="18.75" hidden="1">
      <c r="A34" s="237"/>
      <c r="B34" s="279" t="s">
        <v>196</v>
      </c>
      <c r="C34" s="279"/>
      <c r="D34" s="279"/>
      <c r="E34" s="279"/>
      <c r="F34" s="236"/>
      <c r="G34" s="236"/>
      <c r="H34" s="236"/>
      <c r="I34" s="236"/>
      <c r="J34" s="236"/>
      <c r="K34" s="236"/>
      <c r="L34" s="236"/>
    </row>
    <row r="35" spans="1:12" s="211" customFormat="1" ht="18.75" hidden="1">
      <c r="A35" s="237"/>
      <c r="B35" s="236" t="s">
        <v>197</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07" t="s">
        <v>241</v>
      </c>
      <c r="B37" s="607"/>
      <c r="C37" s="607"/>
      <c r="D37" s="607"/>
      <c r="E37" s="210"/>
      <c r="F37" s="608" t="s">
        <v>242</v>
      </c>
      <c r="G37" s="608"/>
      <c r="H37" s="608"/>
      <c r="I37" s="608"/>
      <c r="J37" s="608"/>
      <c r="K37" s="608"/>
      <c r="L37" s="608"/>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1" t="s">
        <v>198</v>
      </c>
      <c r="B1" s="791"/>
      <c r="C1" s="791"/>
      <c r="D1" s="781" t="s">
        <v>364</v>
      </c>
      <c r="E1" s="781"/>
      <c r="F1" s="781"/>
      <c r="G1" s="781"/>
      <c r="H1" s="781"/>
      <c r="I1" s="170"/>
      <c r="J1" s="171" t="s">
        <v>358</v>
      </c>
      <c r="K1" s="280"/>
      <c r="L1" s="280"/>
    </row>
    <row r="2" spans="1:12" ht="15.75" customHeight="1">
      <c r="A2" s="795" t="s">
        <v>299</v>
      </c>
      <c r="B2" s="795"/>
      <c r="C2" s="795"/>
      <c r="D2" s="781"/>
      <c r="E2" s="781"/>
      <c r="F2" s="781"/>
      <c r="G2" s="781"/>
      <c r="H2" s="781"/>
      <c r="I2" s="170"/>
      <c r="J2" s="281" t="s">
        <v>300</v>
      </c>
      <c r="K2" s="281"/>
      <c r="L2" s="281"/>
    </row>
    <row r="3" spans="1:12" ht="18.75" customHeight="1">
      <c r="A3" s="701" t="s">
        <v>251</v>
      </c>
      <c r="B3" s="701"/>
      <c r="C3" s="701"/>
      <c r="D3" s="167"/>
      <c r="E3" s="167"/>
      <c r="F3" s="167"/>
      <c r="G3" s="167"/>
      <c r="H3" s="167"/>
      <c r="I3" s="170"/>
      <c r="J3" s="174" t="s">
        <v>357</v>
      </c>
      <c r="K3" s="174"/>
      <c r="L3" s="174"/>
    </row>
    <row r="4" spans="1:12" ht="15.75" customHeight="1">
      <c r="A4" s="792" t="s">
        <v>327</v>
      </c>
      <c r="B4" s="792"/>
      <c r="C4" s="792"/>
      <c r="D4" s="807"/>
      <c r="E4" s="807"/>
      <c r="F4" s="807"/>
      <c r="G4" s="807"/>
      <c r="H4" s="807"/>
      <c r="I4" s="170"/>
      <c r="J4" s="282" t="s">
        <v>292</v>
      </c>
      <c r="K4" s="282"/>
      <c r="L4" s="282"/>
    </row>
    <row r="5" spans="1:12" ht="15.75">
      <c r="A5" s="796"/>
      <c r="B5" s="796"/>
      <c r="C5" s="166"/>
      <c r="D5" s="170"/>
      <c r="E5" s="170"/>
      <c r="F5" s="170"/>
      <c r="G5" s="170"/>
      <c r="H5" s="283"/>
      <c r="I5" s="808" t="s">
        <v>328</v>
      </c>
      <c r="J5" s="808"/>
      <c r="K5" s="808"/>
      <c r="L5" s="808"/>
    </row>
    <row r="6" spans="1:12" ht="18.75" customHeight="1">
      <c r="A6" s="693" t="s">
        <v>55</v>
      </c>
      <c r="B6" s="694"/>
      <c r="C6" s="803" t="s">
        <v>199</v>
      </c>
      <c r="D6" s="714" t="s">
        <v>200</v>
      </c>
      <c r="E6" s="806"/>
      <c r="F6" s="715"/>
      <c r="G6" s="714" t="s">
        <v>201</v>
      </c>
      <c r="H6" s="806"/>
      <c r="I6" s="806"/>
      <c r="J6" s="806"/>
      <c r="K6" s="806"/>
      <c r="L6" s="715"/>
    </row>
    <row r="7" spans="1:12" ht="15.75" customHeight="1">
      <c r="A7" s="695"/>
      <c r="B7" s="696"/>
      <c r="C7" s="805"/>
      <c r="D7" s="714" t="s">
        <v>7</v>
      </c>
      <c r="E7" s="806"/>
      <c r="F7" s="715"/>
      <c r="G7" s="803" t="s">
        <v>30</v>
      </c>
      <c r="H7" s="714" t="s">
        <v>7</v>
      </c>
      <c r="I7" s="806"/>
      <c r="J7" s="806"/>
      <c r="K7" s="806"/>
      <c r="L7" s="715"/>
    </row>
    <row r="8" spans="1:12" ht="14.25" customHeight="1">
      <c r="A8" s="695"/>
      <c r="B8" s="696"/>
      <c r="C8" s="805"/>
      <c r="D8" s="803" t="s">
        <v>202</v>
      </c>
      <c r="E8" s="803" t="s">
        <v>203</v>
      </c>
      <c r="F8" s="803" t="s">
        <v>204</v>
      </c>
      <c r="G8" s="805"/>
      <c r="H8" s="803" t="s">
        <v>205</v>
      </c>
      <c r="I8" s="803" t="s">
        <v>206</v>
      </c>
      <c r="J8" s="803" t="s">
        <v>207</v>
      </c>
      <c r="K8" s="803" t="s">
        <v>208</v>
      </c>
      <c r="L8" s="803" t="s">
        <v>209</v>
      </c>
    </row>
    <row r="9" spans="1:12" ht="77.25" customHeight="1">
      <c r="A9" s="697"/>
      <c r="B9" s="698"/>
      <c r="C9" s="804"/>
      <c r="D9" s="804"/>
      <c r="E9" s="804"/>
      <c r="F9" s="804"/>
      <c r="G9" s="804"/>
      <c r="H9" s="804"/>
      <c r="I9" s="804"/>
      <c r="J9" s="804"/>
      <c r="K9" s="804"/>
      <c r="L9" s="804"/>
    </row>
    <row r="10" spans="1:12" s="271" customFormat="1" ht="16.5" customHeight="1">
      <c r="A10" s="797" t="s">
        <v>6</v>
      </c>
      <c r="B10" s="798"/>
      <c r="C10" s="220">
        <v>1</v>
      </c>
      <c r="D10" s="220">
        <v>2</v>
      </c>
      <c r="E10" s="220">
        <v>3</v>
      </c>
      <c r="F10" s="220">
        <v>4</v>
      </c>
      <c r="G10" s="220">
        <v>5</v>
      </c>
      <c r="H10" s="220">
        <v>6</v>
      </c>
      <c r="I10" s="220">
        <v>7</v>
      </c>
      <c r="J10" s="220">
        <v>8</v>
      </c>
      <c r="K10" s="221" t="s">
        <v>61</v>
      </c>
      <c r="L10" s="221" t="s">
        <v>81</v>
      </c>
    </row>
    <row r="11" spans="1:12" s="271" customFormat="1" ht="16.5" customHeight="1">
      <c r="A11" s="801" t="s">
        <v>296</v>
      </c>
      <c r="B11" s="80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99" t="s">
        <v>297</v>
      </c>
      <c r="B12" s="800"/>
      <c r="C12" s="224">
        <v>12</v>
      </c>
      <c r="D12" s="224">
        <v>0</v>
      </c>
      <c r="E12" s="224">
        <v>1</v>
      </c>
      <c r="F12" s="224">
        <v>11</v>
      </c>
      <c r="G12" s="224">
        <v>10</v>
      </c>
      <c r="H12" s="224">
        <v>0</v>
      </c>
      <c r="I12" s="224">
        <v>0</v>
      </c>
      <c r="J12" s="224">
        <v>0</v>
      </c>
      <c r="K12" s="224">
        <v>6</v>
      </c>
      <c r="L12" s="224">
        <v>4</v>
      </c>
    </row>
    <row r="13" spans="1:32" s="271" customFormat="1" ht="16.5" customHeight="1">
      <c r="A13" s="793" t="s">
        <v>30</v>
      </c>
      <c r="B13" s="79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23" t="s">
        <v>284</v>
      </c>
      <c r="B28" s="723"/>
      <c r="C28" s="723"/>
      <c r="D28" s="723"/>
      <c r="E28" s="723"/>
      <c r="F28" s="182"/>
      <c r="G28" s="181"/>
      <c r="H28" s="294" t="s">
        <v>329</v>
      </c>
      <c r="I28" s="295"/>
      <c r="J28" s="295"/>
      <c r="K28" s="295"/>
      <c r="L28" s="295"/>
      <c r="AG28" s="233" t="s">
        <v>285</v>
      </c>
      <c r="AI28" s="190">
        <f>82/88</f>
        <v>0.9318181818181818</v>
      </c>
    </row>
    <row r="29" spans="1:12" ht="15" customHeight="1">
      <c r="A29" s="713" t="s">
        <v>4</v>
      </c>
      <c r="B29" s="713"/>
      <c r="C29" s="713"/>
      <c r="D29" s="713"/>
      <c r="E29" s="713"/>
      <c r="F29" s="182"/>
      <c r="G29" s="183"/>
      <c r="H29" s="716" t="s">
        <v>151</v>
      </c>
      <c r="I29" s="716"/>
      <c r="J29" s="716"/>
      <c r="K29" s="716"/>
      <c r="L29" s="716"/>
    </row>
    <row r="30" spans="1:14" s="170" customFormat="1" ht="18.75">
      <c r="A30" s="710"/>
      <c r="B30" s="710"/>
      <c r="C30" s="710"/>
      <c r="D30" s="710"/>
      <c r="E30" s="710"/>
      <c r="F30" s="296"/>
      <c r="G30" s="182"/>
      <c r="H30" s="711"/>
      <c r="I30" s="711"/>
      <c r="J30" s="711"/>
      <c r="K30" s="711"/>
      <c r="L30" s="711"/>
      <c r="M30" s="297"/>
      <c r="N30" s="297"/>
    </row>
    <row r="31" spans="1:12" ht="18">
      <c r="A31" s="182"/>
      <c r="B31" s="182"/>
      <c r="C31" s="182"/>
      <c r="D31" s="182"/>
      <c r="E31" s="182"/>
      <c r="F31" s="182"/>
      <c r="G31" s="182"/>
      <c r="H31" s="182"/>
      <c r="I31" s="182"/>
      <c r="J31" s="182"/>
      <c r="K31" s="182"/>
      <c r="L31" s="298"/>
    </row>
    <row r="32" spans="1:12" ht="18">
      <c r="A32" s="182"/>
      <c r="B32" s="772" t="s">
        <v>288</v>
      </c>
      <c r="C32" s="772"/>
      <c r="D32" s="772"/>
      <c r="E32" s="772"/>
      <c r="F32" s="182"/>
      <c r="G32" s="182"/>
      <c r="H32" s="182"/>
      <c r="I32" s="772" t="s">
        <v>288</v>
      </c>
      <c r="J32" s="772"/>
      <c r="K32" s="772"/>
      <c r="L32" s="298"/>
    </row>
    <row r="33" spans="1:12" ht="10.5" customHeight="1">
      <c r="A33" s="182"/>
      <c r="B33" s="182"/>
      <c r="C33" s="299" t="s">
        <v>287</v>
      </c>
      <c r="D33" s="299"/>
      <c r="E33" s="299"/>
      <c r="F33" s="299"/>
      <c r="G33" s="299"/>
      <c r="H33" s="299"/>
      <c r="I33" s="299"/>
      <c r="J33" s="300" t="s">
        <v>287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9" t="s">
        <v>210</v>
      </c>
      <c r="C40" s="809"/>
      <c r="D40" s="809"/>
      <c r="E40" s="809"/>
      <c r="F40" s="809"/>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8.75">
      <c r="A43" s="607" t="s">
        <v>330</v>
      </c>
      <c r="B43" s="607"/>
      <c r="C43" s="607"/>
      <c r="D43" s="607"/>
      <c r="E43" s="607"/>
      <c r="F43" s="182"/>
      <c r="G43" s="301"/>
      <c r="H43" s="608" t="s">
        <v>242</v>
      </c>
      <c r="I43" s="608"/>
      <c r="J43" s="608"/>
      <c r="K43" s="608"/>
      <c r="L43" s="608"/>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04" t="s">
        <v>213</v>
      </c>
      <c r="B1" s="704"/>
      <c r="C1" s="704"/>
      <c r="D1" s="704"/>
      <c r="E1" s="306"/>
      <c r="F1" s="699" t="s">
        <v>365</v>
      </c>
      <c r="G1" s="699"/>
      <c r="H1" s="699"/>
      <c r="I1" s="699"/>
      <c r="J1" s="699"/>
      <c r="K1" s="699"/>
      <c r="L1" s="699"/>
      <c r="M1" s="699"/>
      <c r="N1" s="699"/>
      <c r="O1" s="699"/>
      <c r="P1" s="307" t="s">
        <v>289</v>
      </c>
      <c r="Q1" s="308"/>
      <c r="R1" s="308"/>
      <c r="S1" s="308"/>
      <c r="T1" s="308"/>
    </row>
    <row r="2" spans="1:20" s="177" customFormat="1" ht="20.25" customHeight="1">
      <c r="A2" s="827" t="s">
        <v>299</v>
      </c>
      <c r="B2" s="827"/>
      <c r="C2" s="827"/>
      <c r="D2" s="827"/>
      <c r="E2" s="306"/>
      <c r="F2" s="699"/>
      <c r="G2" s="699"/>
      <c r="H2" s="699"/>
      <c r="I2" s="699"/>
      <c r="J2" s="699"/>
      <c r="K2" s="699"/>
      <c r="L2" s="699"/>
      <c r="M2" s="699"/>
      <c r="N2" s="699"/>
      <c r="O2" s="699"/>
      <c r="P2" s="308" t="s">
        <v>331</v>
      </c>
      <c r="Q2" s="308"/>
      <c r="R2" s="308"/>
      <c r="S2" s="308"/>
      <c r="T2" s="308"/>
    </row>
    <row r="3" spans="1:20" s="177" customFormat="1" ht="15" customHeight="1">
      <c r="A3" s="827" t="s">
        <v>251</v>
      </c>
      <c r="B3" s="827"/>
      <c r="C3" s="827"/>
      <c r="D3" s="827"/>
      <c r="E3" s="306"/>
      <c r="F3" s="699"/>
      <c r="G3" s="699"/>
      <c r="H3" s="699"/>
      <c r="I3" s="699"/>
      <c r="J3" s="699"/>
      <c r="K3" s="699"/>
      <c r="L3" s="699"/>
      <c r="M3" s="699"/>
      <c r="N3" s="699"/>
      <c r="O3" s="699"/>
      <c r="P3" s="307" t="s">
        <v>357</v>
      </c>
      <c r="Q3" s="307"/>
      <c r="R3" s="307"/>
      <c r="S3" s="309"/>
      <c r="T3" s="309"/>
    </row>
    <row r="4" spans="1:20" s="177" customFormat="1" ht="15.75" customHeight="1">
      <c r="A4" s="826" t="s">
        <v>332</v>
      </c>
      <c r="B4" s="826"/>
      <c r="C4" s="826"/>
      <c r="D4" s="826"/>
      <c r="E4" s="307"/>
      <c r="F4" s="699"/>
      <c r="G4" s="699"/>
      <c r="H4" s="699"/>
      <c r="I4" s="699"/>
      <c r="J4" s="699"/>
      <c r="K4" s="699"/>
      <c r="L4" s="699"/>
      <c r="M4" s="699"/>
      <c r="N4" s="699"/>
      <c r="O4" s="699"/>
      <c r="P4" s="308" t="s">
        <v>301</v>
      </c>
      <c r="Q4" s="307"/>
      <c r="R4" s="307"/>
      <c r="S4" s="309"/>
      <c r="T4" s="309"/>
    </row>
    <row r="5" spans="1:18" s="177" customFormat="1" ht="24" customHeight="1">
      <c r="A5" s="310"/>
      <c r="B5" s="310"/>
      <c r="C5" s="310"/>
      <c r="F5" s="828"/>
      <c r="G5" s="828"/>
      <c r="H5" s="828"/>
      <c r="I5" s="828"/>
      <c r="J5" s="828"/>
      <c r="K5" s="828"/>
      <c r="L5" s="828"/>
      <c r="M5" s="828"/>
      <c r="N5" s="828"/>
      <c r="O5" s="828"/>
      <c r="P5" s="311" t="s">
        <v>333</v>
      </c>
      <c r="Q5" s="312"/>
      <c r="R5" s="312"/>
    </row>
    <row r="6" spans="1:20" s="313" customFormat="1" ht="21.75" customHeight="1">
      <c r="A6" s="811" t="s">
        <v>55</v>
      </c>
      <c r="B6" s="812"/>
      <c r="C6" s="707" t="s">
        <v>31</v>
      </c>
      <c r="D6" s="691"/>
      <c r="E6" s="707" t="s">
        <v>7</v>
      </c>
      <c r="F6" s="817"/>
      <c r="G6" s="817"/>
      <c r="H6" s="817"/>
      <c r="I6" s="817"/>
      <c r="J6" s="817"/>
      <c r="K6" s="817"/>
      <c r="L6" s="817"/>
      <c r="M6" s="817"/>
      <c r="N6" s="817"/>
      <c r="O6" s="817"/>
      <c r="P6" s="817"/>
      <c r="Q6" s="817"/>
      <c r="R6" s="817"/>
      <c r="S6" s="817"/>
      <c r="T6" s="691"/>
    </row>
    <row r="7" spans="1:21" s="313" customFormat="1" ht="22.5" customHeight="1">
      <c r="A7" s="813"/>
      <c r="B7" s="814"/>
      <c r="C7" s="724" t="s">
        <v>334</v>
      </c>
      <c r="D7" s="724" t="s">
        <v>335</v>
      </c>
      <c r="E7" s="707" t="s">
        <v>214</v>
      </c>
      <c r="F7" s="829"/>
      <c r="G7" s="829"/>
      <c r="H7" s="829"/>
      <c r="I7" s="829"/>
      <c r="J7" s="829"/>
      <c r="K7" s="829"/>
      <c r="L7" s="830"/>
      <c r="M7" s="707" t="s">
        <v>336</v>
      </c>
      <c r="N7" s="817"/>
      <c r="O7" s="817"/>
      <c r="P7" s="817"/>
      <c r="Q7" s="817"/>
      <c r="R7" s="817"/>
      <c r="S7" s="817"/>
      <c r="T7" s="691"/>
      <c r="U7" s="314"/>
    </row>
    <row r="8" spans="1:20" s="313" customFormat="1" ht="42.75" customHeight="1">
      <c r="A8" s="813"/>
      <c r="B8" s="814"/>
      <c r="C8" s="725"/>
      <c r="D8" s="725"/>
      <c r="E8" s="688" t="s">
        <v>337</v>
      </c>
      <c r="F8" s="688"/>
      <c r="G8" s="707" t="s">
        <v>338</v>
      </c>
      <c r="H8" s="817"/>
      <c r="I8" s="817"/>
      <c r="J8" s="817"/>
      <c r="K8" s="817"/>
      <c r="L8" s="691"/>
      <c r="M8" s="688" t="s">
        <v>339</v>
      </c>
      <c r="N8" s="688"/>
      <c r="O8" s="707" t="s">
        <v>338</v>
      </c>
      <c r="P8" s="817"/>
      <c r="Q8" s="817"/>
      <c r="R8" s="817"/>
      <c r="S8" s="817"/>
      <c r="T8" s="691"/>
    </row>
    <row r="9" spans="1:20" s="313" customFormat="1" ht="35.25" customHeight="1">
      <c r="A9" s="813"/>
      <c r="B9" s="814"/>
      <c r="C9" s="725"/>
      <c r="D9" s="725"/>
      <c r="E9" s="724" t="s">
        <v>215</v>
      </c>
      <c r="F9" s="724" t="s">
        <v>216</v>
      </c>
      <c r="G9" s="815" t="s">
        <v>217</v>
      </c>
      <c r="H9" s="816"/>
      <c r="I9" s="815" t="s">
        <v>218</v>
      </c>
      <c r="J9" s="816"/>
      <c r="K9" s="815" t="s">
        <v>219</v>
      </c>
      <c r="L9" s="816"/>
      <c r="M9" s="724" t="s">
        <v>220</v>
      </c>
      <c r="N9" s="724" t="s">
        <v>216</v>
      </c>
      <c r="O9" s="815" t="s">
        <v>217</v>
      </c>
      <c r="P9" s="816"/>
      <c r="Q9" s="815" t="s">
        <v>221</v>
      </c>
      <c r="R9" s="816"/>
      <c r="S9" s="815" t="s">
        <v>222</v>
      </c>
      <c r="T9" s="816"/>
    </row>
    <row r="10" spans="1:20" s="313" customFormat="1" ht="25.5" customHeight="1">
      <c r="A10" s="815"/>
      <c r="B10" s="816"/>
      <c r="C10" s="726"/>
      <c r="D10" s="726"/>
      <c r="E10" s="726"/>
      <c r="F10" s="726"/>
      <c r="G10" s="215" t="s">
        <v>220</v>
      </c>
      <c r="H10" s="215" t="s">
        <v>216</v>
      </c>
      <c r="I10" s="219" t="s">
        <v>220</v>
      </c>
      <c r="J10" s="215" t="s">
        <v>216</v>
      </c>
      <c r="K10" s="219" t="s">
        <v>220</v>
      </c>
      <c r="L10" s="215" t="s">
        <v>216</v>
      </c>
      <c r="M10" s="726"/>
      <c r="N10" s="726"/>
      <c r="O10" s="215" t="s">
        <v>220</v>
      </c>
      <c r="P10" s="215" t="s">
        <v>216</v>
      </c>
      <c r="Q10" s="219" t="s">
        <v>220</v>
      </c>
      <c r="R10" s="215" t="s">
        <v>216</v>
      </c>
      <c r="S10" s="219" t="s">
        <v>220</v>
      </c>
      <c r="T10" s="215" t="s">
        <v>216</v>
      </c>
    </row>
    <row r="11" spans="1:32" s="222" customFormat="1" ht="12.75">
      <c r="A11" s="818" t="s">
        <v>6</v>
      </c>
      <c r="B11" s="819"/>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20" t="s">
        <v>321</v>
      </c>
      <c r="B12" s="821"/>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4" t="s">
        <v>297</v>
      </c>
      <c r="B13" s="825"/>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2" t="s">
        <v>30</v>
      </c>
      <c r="B14" s="823"/>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23" t="s">
        <v>284</v>
      </c>
      <c r="C29" s="723"/>
      <c r="D29" s="723"/>
      <c r="E29" s="723"/>
      <c r="F29" s="723"/>
      <c r="G29" s="723"/>
      <c r="H29" s="181"/>
      <c r="I29" s="181"/>
      <c r="J29" s="182"/>
      <c r="K29" s="181"/>
      <c r="L29" s="728" t="s">
        <v>284</v>
      </c>
      <c r="M29" s="728"/>
      <c r="N29" s="728"/>
      <c r="O29" s="728"/>
      <c r="P29" s="728"/>
      <c r="Q29" s="728"/>
      <c r="R29" s="728"/>
      <c r="S29" s="728"/>
      <c r="T29" s="728"/>
    </row>
    <row r="30" spans="1:20" ht="15" customHeight="1">
      <c r="A30" s="180"/>
      <c r="B30" s="713" t="s">
        <v>35</v>
      </c>
      <c r="C30" s="713"/>
      <c r="D30" s="713"/>
      <c r="E30" s="713"/>
      <c r="F30" s="713"/>
      <c r="G30" s="713"/>
      <c r="H30" s="183"/>
      <c r="I30" s="183"/>
      <c r="J30" s="183"/>
      <c r="K30" s="183"/>
      <c r="L30" s="716" t="s">
        <v>240</v>
      </c>
      <c r="M30" s="716"/>
      <c r="N30" s="716"/>
      <c r="O30" s="716"/>
      <c r="P30" s="716"/>
      <c r="Q30" s="716"/>
      <c r="R30" s="716"/>
      <c r="S30" s="716"/>
      <c r="T30" s="716"/>
    </row>
    <row r="31" spans="1:20" s="320" customFormat="1" ht="18.75">
      <c r="A31" s="318"/>
      <c r="B31" s="710"/>
      <c r="C31" s="710"/>
      <c r="D31" s="710"/>
      <c r="E31" s="710"/>
      <c r="F31" s="710"/>
      <c r="G31" s="319"/>
      <c r="H31" s="319"/>
      <c r="I31" s="319"/>
      <c r="J31" s="319"/>
      <c r="K31" s="319"/>
      <c r="L31" s="711"/>
      <c r="M31" s="711"/>
      <c r="N31" s="711"/>
      <c r="O31" s="711"/>
      <c r="P31" s="711"/>
      <c r="Q31" s="711"/>
      <c r="R31" s="711"/>
      <c r="S31" s="711"/>
      <c r="T31" s="71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10" t="s">
        <v>288</v>
      </c>
      <c r="C33" s="810"/>
      <c r="D33" s="810"/>
      <c r="E33" s="810"/>
      <c r="F33" s="810"/>
      <c r="G33" s="321"/>
      <c r="H33" s="321"/>
      <c r="I33" s="321"/>
      <c r="J33" s="321"/>
      <c r="K33" s="321"/>
      <c r="L33" s="321"/>
      <c r="M33" s="321"/>
      <c r="N33" s="321"/>
      <c r="O33" s="810" t="s">
        <v>288</v>
      </c>
      <c r="P33" s="810"/>
      <c r="Q33" s="81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223</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07" t="s">
        <v>241</v>
      </c>
      <c r="C39" s="607"/>
      <c r="D39" s="607"/>
      <c r="E39" s="607"/>
      <c r="F39" s="607"/>
      <c r="G39" s="607"/>
      <c r="H39" s="182"/>
      <c r="I39" s="182"/>
      <c r="J39" s="182"/>
      <c r="K39" s="182"/>
      <c r="L39" s="608" t="s">
        <v>242</v>
      </c>
      <c r="M39" s="608"/>
      <c r="N39" s="608"/>
      <c r="O39" s="608"/>
      <c r="P39" s="608"/>
      <c r="Q39" s="608"/>
      <c r="R39" s="608"/>
      <c r="S39" s="608"/>
      <c r="T39" s="608"/>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F5:O5"/>
    <mergeCell ref="E8:F8"/>
    <mergeCell ref="M8:N8"/>
    <mergeCell ref="E7:L7"/>
    <mergeCell ref="E6:T6"/>
    <mergeCell ref="M7:T7"/>
    <mergeCell ref="S9:T9"/>
    <mergeCell ref="A4:D4"/>
    <mergeCell ref="A3:D3"/>
    <mergeCell ref="G9:H9"/>
    <mergeCell ref="O8:T8"/>
    <mergeCell ref="F1:O4"/>
    <mergeCell ref="A1:D1"/>
    <mergeCell ref="O9:P9"/>
    <mergeCell ref="M9:M10"/>
    <mergeCell ref="A2:D2"/>
    <mergeCell ref="C6:D6"/>
    <mergeCell ref="B31:F31"/>
    <mergeCell ref="A11:B11"/>
    <mergeCell ref="A12:B12"/>
    <mergeCell ref="B29:G29"/>
    <mergeCell ref="A14:B14"/>
    <mergeCell ref="A13:B13"/>
    <mergeCell ref="C7:C10"/>
    <mergeCell ref="N9:N10"/>
    <mergeCell ref="Q9:R9"/>
    <mergeCell ref="D7:D10"/>
    <mergeCell ref="I9:J9"/>
    <mergeCell ref="K9:L9"/>
    <mergeCell ref="G8:L8"/>
    <mergeCell ref="B33:F33"/>
    <mergeCell ref="F9:F10"/>
    <mergeCell ref="E9:E10"/>
    <mergeCell ref="L39:T39"/>
    <mergeCell ref="L29:T29"/>
    <mergeCell ref="B39:G39"/>
    <mergeCell ref="B30:G30"/>
    <mergeCell ref="O33:Q33"/>
    <mergeCell ref="A6:B10"/>
    <mergeCell ref="L31:T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2017-12-18T01:35:52Z</cp:lastPrinted>
  <dcterms:created xsi:type="dcterms:W3CDTF">2004-03-07T02:36:29Z</dcterms:created>
  <dcterms:modified xsi:type="dcterms:W3CDTF">2017-12-18T01:47:49Z</dcterms:modified>
  <cp:category/>
  <cp:version/>
  <cp:contentType/>
  <cp:contentStatus/>
</cp:coreProperties>
</file>